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FEUTUJ8QLwi4bxbh34QVz4p1MIWDIjShZJS9pC1MbAtjbQXlf7EEOLs8SbsLhT7YJVGKVzxC40iIisx8O+88dQ==" workbookSaltValue="uWJG53+AwzcDAiQyd2V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E23" i="12" l="1"/>
  <c r="BF17" i="8"/>
  <c r="T31" i="8"/>
  <c r="R13" i="17"/>
  <c r="P13" i="14"/>
  <c r="BG17" i="13"/>
  <c r="R8" i="9"/>
  <c r="BH30" i="16" s="1"/>
  <c r="T17" i="11"/>
  <c r="AA10" i="16"/>
  <c r="X21" i="17"/>
  <c r="AA20" i="16"/>
  <c r="AA9" i="16"/>
  <c r="U10" i="21"/>
  <c r="V21" i="16"/>
  <c r="AZ20" i="11"/>
  <c r="AZ28" i="11"/>
  <c r="L13" i="2"/>
  <c r="L21" i="2"/>
  <c r="L29" i="2"/>
  <c r="X12" i="16"/>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0" i="12"/>
  <c r="I16" i="12"/>
  <c r="BF23" i="13"/>
  <c r="S12" i="14"/>
  <c r="V12" i="14" s="1"/>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P20" i="11"/>
  <c r="BH23" i="11"/>
  <c r="BK23" i="11"/>
  <c r="BW33" i="20"/>
  <c r="BV23" i="16"/>
  <c r="BV26" i="16" s="1"/>
  <c r="BV30" i="16" s="1"/>
  <c r="R14" i="21"/>
  <c r="R31" i="21" s="1"/>
  <c r="AZ31" i="11"/>
  <c r="AZ14" i="11"/>
  <c r="BJ23" i="11"/>
  <c r="BI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<sst xmlns="http://schemas.openxmlformats.org/spreadsheetml/2006/main" count="2682" uniqueCount="1193">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</sst>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xys/sRFrO1gzuhH71C0ckNqupzNKZ4RkDqJLdErQcSMYk2Nulr28JSUD1IirHknV4v8TS5W2sAS9zukyyD3Fw==" saltValue="fMtrMOQE40O/TItENqvb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93</v>
      </c>
      <c r="D10" s="239">
        <f>IF(ISNUMBER(Datos!I10),Datos!I10," - ")</f>
        <v>93</v>
      </c>
      <c r="E10" s="240">
        <f>IF(ISNUMBER(Datos!J10),Datos!J10," - ")</f>
        <v>24</v>
      </c>
      <c r="F10" s="240">
        <f>IF(ISNUMBER(Datos!K10),Datos!K10," - ")</f>
        <v>18</v>
      </c>
      <c r="G10" s="1390" t="str">
        <f>IF(Datos!E10&lt;&gt;"",Datos!E10,Datos!D10)</f>
        <v>37</v>
      </c>
      <c r="H10" s="241">
        <f>IF(ISNUMBER(Datos!L10),Datos!L10," - ")</f>
        <v>99</v>
      </c>
      <c r="I10" s="1400" t="str">
        <f>IF(ISNUMBER(Datos!AS10/Datos!BM10),Datos!AS10/Datos!BM10," - ")</f>
        <v xml:space="preserve"> - </v>
      </c>
      <c r="J10" s="1401">
        <f>IF(ISNUMBER(Datos!BY10/Datos!CN10),Datos!BY10/Datos!CN10," - ")</f>
        <v>0</v>
      </c>
      <c r="K10" s="244">
        <f t="shared" ref="K10:K13" si="1">IF(ISNUMBER((E10-F10)/C10),(E10-F10)/C10," - ")</f>
        <v>6.4516129032258063E-2</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78.800200803212846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24</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3610</v>
      </c>
      <c r="D17" s="239">
        <f>IF(ISNUMBER(IF(D_I="SI",Datos!I17,Datos!I17+Datos!AC17)),IF(D_I="SI",Datos!I17,Datos!I17+Datos!AC17)," - ")</f>
        <v>3955</v>
      </c>
      <c r="E17" s="240">
        <f>IF(ISNUMBER(IF(D_I="SI",Datos!J17,Datos!J17+Datos!AD17)),IF(D_I="SI",Datos!J17,Datos!J17+Datos!AD17)," - ")</f>
        <v>954</v>
      </c>
      <c r="F17" s="240">
        <f>IF(ISNUMBER(IF(D_I="SI",Datos!K17,Datos!K17+Datos!AE17)),IF(D_I="SI",Datos!K17,Datos!K17+Datos!AE17)," - ")</f>
        <v>1227</v>
      </c>
      <c r="G17" s="1390" t="str">
        <f>IF(Datos!E17&lt;&gt;"",Datos!E17,Datos!D17)</f>
        <v>04</v>
      </c>
      <c r="H17" s="241">
        <f>IF(ISNUMBER(IF(D_I="SI",Datos!L17,Datos!L17+Datos!AF17)),IF(D_I="SI",Datos!L17,Datos!L17+Datos!AF17)," - ")</f>
        <v>3337</v>
      </c>
      <c r="I17" s="1400" t="str">
        <f>IF(ISNUMBER(Datos!AS17/Datos!BM17),Datos!AS17/Datos!BM17," - ")</f>
        <v xml:space="preserve"> - </v>
      </c>
      <c r="J17" s="1401">
        <f>IF(ISNUMBER(Datos!BY17/Datos!CN17),Datos!BY17/Datos!CN17," - ")</f>
        <v>0</v>
      </c>
      <c r="K17" s="244">
        <f t="shared" si="3"/>
        <v>-7.5623268698060936E-2</v>
      </c>
      <c r="L17" s="1402">
        <f>IF(ISNUMBER(NºAsuntos!I17/NºAsuntos!G17),(NºAsuntos!I17/NºAsuntos!G17)*11," - ")</f>
        <v>29.916055419722902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123</v>
      </c>
      <c r="E18" s="240">
        <f>IF(ISNUMBER(IF(D_I="SI",Datos!J18,Datos!J18+Datos!AD18)),IF(D_I="SI",Datos!J18,Datos!J18+Datos!AD18)," - ")</f>
        <v>104</v>
      </c>
      <c r="F18" s="240">
        <f>IF(ISNUMBER(IF(D_I="SI",Datos!K18,Datos!K18+Datos!AE18)),IF(D_I="SI",Datos!K18,Datos!K18+Datos!AE18)," - ")</f>
        <v>102</v>
      </c>
      <c r="G18" s="1390" t="str">
        <f>IF(Datos!E18&lt;&gt;"",Datos!E18,Datos!D18)</f>
        <v>37</v>
      </c>
      <c r="H18" s="241">
        <f>IF(ISNUMBER(IF(D_I="SI",Datos!L18,Datos!L18+Datos!AF18)),IF(D_I="SI",Datos!L18,Datos!L18+Datos!AF18)," - ")</f>
        <v>125</v>
      </c>
      <c r="I18" s="1400" t="str">
        <f>IF(ISNUMBER(Datos!AS18/Datos!BM18),Datos!AS18/Datos!BM18," - ")</f>
        <v xml:space="preserve"> - </v>
      </c>
      <c r="J18" s="1401" t="str">
        <f>IF(ISNUMBER((Datos!BY18+Datos!BZ18)/Datos!CN18),(Datos!BY18+Datos!BZ18)/Datos!CN18," - ")</f>
        <v xml:space="preserve"> - </v>
      </c>
      <c r="K18" s="244">
        <f t="shared" si="3"/>
        <v>1.6260162601626018E-2</v>
      </c>
      <c r="L18" s="1402">
        <f>IF(ISNUMBER(NºAsuntos!I18/NºAsuntos!G18),(NºAsuntos!I18/NºAsuntos!G18)*11," - ")</f>
        <v>13.480392156862745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3733</v>
      </c>
      <c r="D23" s="1407">
        <f>SUBTOTAL(9,D16:D22)</f>
        <v>4078</v>
      </c>
      <c r="E23" s="1408">
        <f>SUBTOTAL(9,E16:E22)</f>
        <v>1058</v>
      </c>
      <c r="F23" s="1408">
        <f>SUBTOTAL(9,F16:F22)</f>
        <v>1329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3826</v>
      </c>
      <c r="D31" s="1435">
        <f>SUBTOTAL(9,D9:D30)</f>
        <v>4171</v>
      </c>
      <c r="E31" s="1436">
        <f>SUBTOTAL(9,E9:E30)</f>
        <v>1082</v>
      </c>
      <c r="F31" s="1436">
        <f>SUBTOTAL(9,F9:F30)</f>
        <v>1347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IsPMSDCkwv37mGEuUK+1a4ki+4bLeEMSHGbJjJQT+S65LlLjFjZJOtM1bAqO7FHMYM1BoI/E7TiWTvgQsxyQ==" saltValue="Q+i+3tvpdvV8U/Y7vw5r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kNg2G/ysercRjBbzaoBm2GCUd1aEtMlqs7fqy9HkGJK4pDRGa98zm+/O84V+x6ZCINYQvsPwUlU+3ebxuA6mA==" saltValue="umJUi8wTvd/x52QIW/Cf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24</v>
      </c>
      <c r="K10" s="194">
        <v>18</v>
      </c>
      <c r="L10" s="194">
        <v>99</v>
      </c>
      <c r="M10" s="194">
        <v>4</v>
      </c>
      <c r="N10" s="194">
        <v>0</v>
      </c>
      <c r="O10" s="194">
        <v>0</v>
      </c>
      <c r="P10" s="194">
        <v>0</v>
      </c>
      <c r="Q10" s="194">
        <v>0</v>
      </c>
      <c r="R10" s="194">
        <v>0</v>
      </c>
      <c r="S10" s="194">
        <v>83</v>
      </c>
      <c r="T10" s="194">
        <v>14</v>
      </c>
      <c r="U10" s="194">
        <v>10</v>
      </c>
      <c r="V10" s="194">
        <v>87</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83</v>
      </c>
      <c r="AZ10" s="139">
        <f t="shared" si="0"/>
        <v>14</v>
      </c>
      <c r="BA10" s="139">
        <f t="shared" si="0"/>
        <v>10</v>
      </c>
      <c r="BB10" s="139">
        <f t="shared" si="0"/>
        <v>87</v>
      </c>
      <c r="BC10" s="135">
        <f t="shared" si="0"/>
        <v>4</v>
      </c>
      <c r="BD10" s="136">
        <f>IF(ISNUMBER(BA10/AZ10),BA10/AZ10," - ")</f>
        <v>0.7142857142857143</v>
      </c>
      <c r="BE10" s="137">
        <f>IF(ISNUMBER(BB10/BA10),BB10/BA10, " - ")</f>
        <v>8.6999999999999993</v>
      </c>
      <c r="BF10" s="137">
        <f>IF(ISNUMBER(BC10/BA10),BC10/BA10, " - ")</f>
        <v>0.4</v>
      </c>
      <c r="BG10" s="209">
        <f>IF(ISNUMBER((AY10+AZ10)/BA10),(AY10+AZ10)/BA10," - ")</f>
        <v>9.6999999999999993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6902</v>
      </c>
      <c r="J12" s="196">
        <v>1170</v>
      </c>
      <c r="K12" s="196">
        <v>951</v>
      </c>
      <c r="L12" s="196">
        <v>7018</v>
      </c>
      <c r="M12" s="196">
        <v>241</v>
      </c>
      <c r="N12" s="196">
        <v>430</v>
      </c>
      <c r="O12" s="194">
        <v>313</v>
      </c>
      <c r="P12" s="196">
        <v>210</v>
      </c>
      <c r="Q12" s="196">
        <v>94</v>
      </c>
      <c r="R12" s="196">
        <v>5878</v>
      </c>
      <c r="S12" s="196">
        <v>5874</v>
      </c>
      <c r="T12" s="196">
        <v>1284</v>
      </c>
      <c r="U12" s="196">
        <v>848</v>
      </c>
      <c r="V12" s="196">
        <v>6309</v>
      </c>
      <c r="W12" s="196">
        <v>209</v>
      </c>
      <c r="X12" s="202">
        <v>326</v>
      </c>
      <c r="Y12" s="204">
        <v>109</v>
      </c>
      <c r="Z12" s="194">
        <v>53</v>
      </c>
      <c r="AA12" s="194">
        <v>45</v>
      </c>
      <c r="AB12" s="194">
        <v>117</v>
      </c>
      <c r="AC12" s="196">
        <v>0</v>
      </c>
      <c r="AD12" s="196">
        <v>0</v>
      </c>
      <c r="AE12" s="196">
        <v>0</v>
      </c>
      <c r="AF12" s="202">
        <v>0</v>
      </c>
      <c r="AG12" s="215">
        <v>102</v>
      </c>
      <c r="AH12" s="196">
        <v>49</v>
      </c>
      <c r="AI12" s="196">
        <v>69</v>
      </c>
      <c r="AJ12" s="216">
        <v>82</v>
      </c>
      <c r="AK12" s="195">
        <v>0</v>
      </c>
      <c r="AL12" s="196">
        <v>0</v>
      </c>
      <c r="AM12" s="196">
        <v>0</v>
      </c>
      <c r="AN12" s="202">
        <v>0</v>
      </c>
      <c r="AO12" s="283">
        <v>4</v>
      </c>
      <c r="AP12" s="168">
        <v>4</v>
      </c>
      <c r="AQ12" s="168">
        <v>4</v>
      </c>
      <c r="AR12" s="167">
        <v>4</v>
      </c>
      <c r="AS12" s="381" t="s">
        <v>1075</v>
      </c>
      <c r="AT12" s="216"/>
      <c r="AU12" s="215"/>
      <c r="AV12" s="216"/>
      <c r="AW12" s="215"/>
      <c r="AX12" s="216"/>
      <c r="AY12" s="136">
        <f t="shared" si="1"/>
        <v>5976</v>
      </c>
      <c r="AZ12" s="137">
        <f t="shared" si="1"/>
        <v>1333</v>
      </c>
      <c r="BA12" s="137">
        <f t="shared" si="1"/>
        <v>917</v>
      </c>
      <c r="BB12" s="137">
        <f t="shared" si="1"/>
        <v>6391</v>
      </c>
      <c r="BC12" s="135">
        <f>IF(ISNUMBER(X12),X12," - ")</f>
        <v>326</v>
      </c>
      <c r="BD12" s="136">
        <f t="shared" si="2"/>
        <v>0.68792198049512376</v>
      </c>
      <c r="BE12" s="137">
        <f t="shared" si="3"/>
        <v>6.9694656488549622</v>
      </c>
      <c r="BF12" s="137">
        <f t="shared" si="4"/>
        <v>0.35550708833151579</v>
      </c>
      <c r="BG12" s="209">
        <f t="shared" si="5"/>
        <v>7.970556161395856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6995</v>
      </c>
      <c r="J14" s="197">
        <f t="shared" si="7"/>
        <v>1194</v>
      </c>
      <c r="K14" s="197">
        <f t="shared" si="7"/>
        <v>969</v>
      </c>
      <c r="L14" s="197">
        <f t="shared" si="7"/>
        <v>7117</v>
      </c>
      <c r="M14" s="197">
        <f t="shared" si="7"/>
        <v>245</v>
      </c>
      <c r="N14" s="197">
        <f t="shared" si="7"/>
        <v>430</v>
      </c>
      <c r="O14" s="197">
        <f t="shared" si="7"/>
        <v>313</v>
      </c>
      <c r="P14" s="197">
        <f t="shared" si="7"/>
        <v>210</v>
      </c>
      <c r="Q14" s="197">
        <f t="shared" si="7"/>
        <v>94</v>
      </c>
      <c r="R14" s="197">
        <f t="shared" si="7"/>
        <v>5878</v>
      </c>
      <c r="S14" s="197">
        <f t="shared" si="7"/>
        <v>5957</v>
      </c>
      <c r="T14" s="197">
        <f t="shared" si="7"/>
        <v>1298</v>
      </c>
      <c r="U14" s="197">
        <f t="shared" si="7"/>
        <v>858</v>
      </c>
      <c r="V14" s="197">
        <f t="shared" si="7"/>
        <v>6396</v>
      </c>
      <c r="W14" s="197">
        <f t="shared" si="7"/>
        <v>213</v>
      </c>
      <c r="X14" s="197">
        <f t="shared" si="7"/>
        <v>326</v>
      </c>
      <c r="Y14" s="197">
        <f t="shared" si="7"/>
        <v>109</v>
      </c>
      <c r="Z14" s="197">
        <f t="shared" si="7"/>
        <v>53</v>
      </c>
      <c r="AA14" s="197">
        <f t="shared" si="7"/>
        <v>45</v>
      </c>
      <c r="AB14" s="197">
        <f t="shared" si="7"/>
        <v>117</v>
      </c>
      <c r="AC14" s="197">
        <f t="shared" si="7"/>
        <v>0</v>
      </c>
      <c r="AD14" s="197">
        <f t="shared" si="7"/>
        <v>0</v>
      </c>
      <c r="AE14" s="197">
        <f t="shared" si="7"/>
        <v>0</v>
      </c>
      <c r="AF14" s="197">
        <f>SUBTOTAL(9,AF9:AF13)</f>
        <v>0</v>
      </c>
      <c r="AG14" s="197">
        <f t="shared" ref="AG14:AT14" si="8">SUBTOTAL(9,AG8:AG13)</f>
        <v>102</v>
      </c>
      <c r="AH14" s="197">
        <f t="shared" si="8"/>
        <v>49</v>
      </c>
      <c r="AI14" s="197">
        <f t="shared" si="8"/>
        <v>69</v>
      </c>
      <c r="AJ14" s="197">
        <f t="shared" si="8"/>
        <v>82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6059</v>
      </c>
      <c r="AZ14" s="197">
        <f>SUBTOTAL(9,AZ8:AZ13)</f>
        <v>1347</v>
      </c>
      <c r="BA14" s="197">
        <f>SUBTOTAL(9,BA8:BA13)</f>
        <v>927</v>
      </c>
      <c r="BB14" s="197">
        <f>SUBTOTAL(9,BB8:BB13)</f>
        <v>6478</v>
      </c>
      <c r="BC14" s="197">
        <f>SUBTOTAL(9,BC8:BC13)</f>
        <v>330</v>
      </c>
      <c r="BD14" s="219">
        <f>IF(ISNUMBER(BA14/AZ14),BA14/AZ14," - ")</f>
        <v>0.68819599109131402</v>
      </c>
      <c r="BE14" s="220">
        <f>IF(ISNUMBER(BB14/BA14),BB14/BA14, " - ")</f>
        <v>6.9881337648327939</v>
      </c>
      <c r="BF14" s="220">
        <f>IF(ISNUMBER(BC14/BA14),BC14/BA14, " - ")</f>
        <v>0.35598705501618122</v>
      </c>
      <c r="BG14" s="221">
        <f>IF(ISNUMBER((AY14+AZ14)/BA14),(AY14+AZ14)/BA14," - ")</f>
        <v>7.9892125134843583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3955</v>
      </c>
      <c r="J17" s="196">
        <v>954</v>
      </c>
      <c r="K17" s="196">
        <v>1227</v>
      </c>
      <c r="L17" s="196">
        <v>3337</v>
      </c>
      <c r="M17" s="196">
        <v>167</v>
      </c>
      <c r="N17" s="196">
        <v>959</v>
      </c>
      <c r="O17" s="194">
        <v>0</v>
      </c>
      <c r="P17" s="196">
        <v>64</v>
      </c>
      <c r="Q17" s="196">
        <v>118</v>
      </c>
      <c r="R17" s="196">
        <v>131</v>
      </c>
      <c r="S17" s="196">
        <v>3377</v>
      </c>
      <c r="T17" s="196">
        <v>1062</v>
      </c>
      <c r="U17" s="196">
        <v>1199</v>
      </c>
      <c r="V17" s="196">
        <v>3241</v>
      </c>
      <c r="W17" s="196">
        <v>197</v>
      </c>
      <c r="X17" s="202">
        <v>873</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3377</v>
      </c>
      <c r="AZ17" s="137">
        <f t="shared" si="10"/>
        <v>1062</v>
      </c>
      <c r="BA17" s="137">
        <f t="shared" si="10"/>
        <v>1199</v>
      </c>
      <c r="BB17" s="137">
        <f t="shared" si="10"/>
        <v>3241</v>
      </c>
      <c r="BC17" s="135">
        <f>IF(ISNUMBER(W17),W17," - ")</f>
        <v>197</v>
      </c>
      <c r="BD17" s="136">
        <f t="shared" ref="BD17:BD22" si="12">IF(ISNUMBER(BA17/AZ17),BA17/AZ17," - ")</f>
        <v>1.1290018832391713</v>
      </c>
      <c r="BE17" s="137">
        <f t="shared" ref="BE17:BE22" si="13">IF(ISNUMBER(BB17/BA17),BB17/BA17, " - ")</f>
        <v>2.7030859049207674</v>
      </c>
      <c r="BF17" s="137">
        <f t="shared" ref="BF17:BF22" si="14">IF(ISNUMBER(BC17/BA17),BC17/BA17, " - ")</f>
        <v>0.16430358632193495</v>
      </c>
      <c r="BG17" s="209">
        <f t="shared" si="11"/>
        <v>3.7022518765638033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123</v>
      </c>
      <c r="J18" s="196">
        <v>104</v>
      </c>
      <c r="K18" s="196">
        <v>102</v>
      </c>
      <c r="L18" s="196">
        <v>125</v>
      </c>
      <c r="M18" s="196">
        <v>40</v>
      </c>
      <c r="N18" s="196">
        <v>77</v>
      </c>
      <c r="O18" s="196">
        <v>0</v>
      </c>
      <c r="P18" s="196">
        <v>5</v>
      </c>
      <c r="Q18" s="196">
        <v>2</v>
      </c>
      <c r="R18" s="196">
        <v>11</v>
      </c>
      <c r="S18" s="196">
        <v>114</v>
      </c>
      <c r="T18" s="196">
        <v>81</v>
      </c>
      <c r="U18" s="196">
        <v>88</v>
      </c>
      <c r="V18" s="196">
        <v>107</v>
      </c>
      <c r="W18" s="196">
        <v>38</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114</v>
      </c>
      <c r="AZ18" s="139">
        <f t="shared" si="15"/>
        <v>81</v>
      </c>
      <c r="BA18" s="139">
        <f t="shared" si="15"/>
        <v>88</v>
      </c>
      <c r="BB18" s="139">
        <f t="shared" si="15"/>
        <v>107</v>
      </c>
      <c r="BC18" s="135">
        <f>IF(ISNUMBER(W18),W18," - ")</f>
        <v>38</v>
      </c>
      <c r="BD18" s="136">
        <f>IF(ISNUMBER(BA18/AZ18),BA18/AZ18," - ")</f>
        <v>1.0864197530864197</v>
      </c>
      <c r="BE18" s="137">
        <f>IF(ISNUMBER(BB18/BA18),BB18/BA18, " - ")</f>
        <v>1.2159090909090908</v>
      </c>
      <c r="BF18" s="137">
        <f>IF(ISNUMBER(BC18/BA18),BC18/BA18, " - ")</f>
        <v>0.43181818181818182</v>
      </c>
      <c r="BG18" s="209">
        <f>IF(ISNUMBER((AY18+AZ18)/BA18),(AY18+AZ18)/BA18," - ")</f>
        <v>2.2159090909090908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4078</v>
      </c>
      <c r="J23" s="197">
        <f t="shared" si="21"/>
        <v>1058</v>
      </c>
      <c r="K23" s="197">
        <f t="shared" si="21"/>
        <v>1329</v>
      </c>
      <c r="L23" s="197">
        <f t="shared" si="21"/>
        <v>3462</v>
      </c>
      <c r="M23" s="197">
        <f t="shared" si="21"/>
        <v>207</v>
      </c>
      <c r="N23" s="197">
        <f t="shared" si="21"/>
        <v>1036</v>
      </c>
      <c r="O23" s="197">
        <f t="shared" si="21"/>
        <v>0</v>
      </c>
      <c r="P23" s="197">
        <f t="shared" si="21"/>
        <v>69</v>
      </c>
      <c r="Q23" s="197">
        <f t="shared" si="21"/>
        <v>120</v>
      </c>
      <c r="R23" s="197">
        <f t="shared" si="21"/>
        <v>142</v>
      </c>
      <c r="S23" s="197">
        <f t="shared" si="21"/>
        <v>3491</v>
      </c>
      <c r="T23" s="197">
        <f t="shared" si="21"/>
        <v>1143</v>
      </c>
      <c r="U23" s="197">
        <f t="shared" si="21"/>
        <v>1287</v>
      </c>
      <c r="V23" s="197">
        <f t="shared" si="21"/>
        <v>3348</v>
      </c>
      <c r="W23" s="197">
        <f t="shared" si="21"/>
        <v>235</v>
      </c>
      <c r="X23" s="197">
        <f t="shared" si="21"/>
        <v>943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3491</v>
      </c>
      <c r="AZ23" s="197">
        <f>SUBTOTAL(9,AZ15:AZ22)</f>
        <v>1143</v>
      </c>
      <c r="BA23" s="197">
        <f>SUBTOTAL(9,BA15:BA22)</f>
        <v>1287</v>
      </c>
      <c r="BB23" s="197">
        <f>SUBTOTAL(9,BB15:BB22)</f>
        <v>3348</v>
      </c>
      <c r="BC23" s="197">
        <f>SUBTOTAL(9,BC15:BC22)</f>
        <v>235</v>
      </c>
      <c r="BD23" s="219">
        <f>IF(ISNUMBER(BA23/AZ23),BA23/AZ23," - ")</f>
        <v>1.1259842519685039</v>
      </c>
      <c r="BE23" s="220">
        <f>IF(ISNUMBER(BB23/BA23),BB23/BA23, " - ")</f>
        <v>2.6013986013986012</v>
      </c>
      <c r="BF23" s="220">
        <f>IF(ISNUMBER(BC23/BA23),BC23/BA23, " - ")</f>
        <v>0.18259518259518259</v>
      </c>
      <c r="BG23" s="221">
        <f>IF(ISNUMBER((AY23+AZ23)/BA23),(AY23+AZ23)/BA23," - ")</f>
        <v>3.6006216006216007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11073</v>
      </c>
      <c r="J31" s="144">
        <f t="shared" si="36"/>
        <v>2252</v>
      </c>
      <c r="K31" s="144">
        <f t="shared" si="36"/>
        <v>2298</v>
      </c>
      <c r="L31" s="144">
        <f t="shared" si="36"/>
        <v>10579</v>
      </c>
      <c r="M31" s="144">
        <f t="shared" si="36"/>
        <v>452</v>
      </c>
      <c r="N31" s="144">
        <f t="shared" si="36"/>
        <v>1466</v>
      </c>
      <c r="O31" s="144">
        <f t="shared" si="36"/>
        <v>313</v>
      </c>
      <c r="P31" s="144">
        <f t="shared" si="36"/>
        <v>279</v>
      </c>
      <c r="Q31" s="144">
        <f t="shared" si="36"/>
        <v>214</v>
      </c>
      <c r="R31" s="144">
        <f t="shared" si="36"/>
        <v>6020</v>
      </c>
      <c r="S31" s="144">
        <f t="shared" si="36"/>
        <v>9448</v>
      </c>
      <c r="T31" s="144">
        <f t="shared" si="36"/>
        <v>2441</v>
      </c>
      <c r="U31" s="144">
        <f t="shared" si="36"/>
        <v>2145</v>
      </c>
      <c r="V31" s="144">
        <f t="shared" si="36"/>
        <v>9744</v>
      </c>
      <c r="W31" s="144">
        <f t="shared" si="36"/>
        <v>448</v>
      </c>
      <c r="X31" s="144">
        <f t="shared" si="36"/>
        <v>1269</v>
      </c>
      <c r="Y31" s="144">
        <f t="shared" si="36"/>
        <v>109</v>
      </c>
      <c r="Z31" s="144">
        <f t="shared" si="36"/>
        <v>53</v>
      </c>
      <c r="AA31" s="144">
        <f t="shared" si="36"/>
        <v>45</v>
      </c>
      <c r="AB31" s="144">
        <f t="shared" si="36"/>
        <v>117</v>
      </c>
      <c r="AC31" s="144">
        <f t="shared" si="36"/>
        <v>0</v>
      </c>
      <c r="AD31" s="144">
        <f t="shared" si="36"/>
        <v>1</v>
      </c>
      <c r="AE31" s="144">
        <f t="shared" si="36"/>
        <v>1</v>
      </c>
      <c r="AF31" s="144">
        <f t="shared" si="36"/>
        <v>0</v>
      </c>
      <c r="AG31" s="144">
        <f t="shared" si="36"/>
        <v>102</v>
      </c>
      <c r="AH31" s="144">
        <f t="shared" si="36"/>
        <v>49</v>
      </c>
      <c r="AI31" s="144">
        <f t="shared" si="36"/>
        <v>69</v>
      </c>
      <c r="AJ31" s="144">
        <f t="shared" si="36"/>
        <v>82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9550</v>
      </c>
      <c r="AZ31" s="144">
        <f>SUBTOTAL(9,AZ9:AZ30)</f>
        <v>2490</v>
      </c>
      <c r="BA31" s="144">
        <f>SUBTOTAL(9,BA9:BA30)</f>
        <v>2214</v>
      </c>
      <c r="BB31" s="144">
        <f>SUBTOTAL(9,BB9:BB30)</f>
        <v>9826</v>
      </c>
      <c r="BC31" s="145">
        <f>SUBTOTAL(9,BC9:BC30)</f>
        <v>565</v>
      </c>
      <c r="BD31" s="227">
        <f>IF(ISNUMBER(BA31/AZ31),BA31/AZ31," - ")</f>
        <v>0.88915662650602412</v>
      </c>
      <c r="BE31" s="224">
        <f>IF(ISNUMBER(BB31/BA31),BB31/BA31, " - ")</f>
        <v>4.4381210478771456</v>
      </c>
      <c r="BF31" s="224">
        <f>IF(ISNUMBER(BC31/BA31),BC31/BA31, " - ")</f>
        <v>0.25519421860885277</v>
      </c>
      <c r="BG31" s="145">
        <f>IF(ISNUMBER((AY31+AZ31)/BA31),(AY31+AZ31)/BA31," - ")</f>
        <v>5.4381210478771456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Z7R+JisN0DJCS7BPhob5GZsqCQq/SnejSyzpC3so3WdmQ/WVeTh1fN+bSDJZ9bHIVEqr9QxKhORi6vnctl+Yw==" saltValue="MqFC8Sfw/TZYzY5tUJ2K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UzZ4hIYXKayMksQks/HT5c62N+ibl0NL3BwDA071hwqWyqteEqUL/gj3XXo5hahuVnMv49u4DmdEfiHw4GQw==" saltValue="rrf3PA78AoxhKAP8WXn9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GRANADILLA DE ABONA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0</v>
      </c>
      <c r="AD10" s="549"/>
      <c r="AE10" s="563"/>
      <c r="AF10" s="551">
        <f>IF(ISNUMBER(Datos!L10),Datos!L10,"-")</f>
        <v>99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210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5878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241</v>
      </c>
      <c r="BD12" s="693">
        <f>IF(ISNUMBER(Datos!N12),Datos!N12," - ")</f>
        <v>430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0.81439084219133284</v>
      </c>
      <c r="BH12" s="764">
        <f>IF(ISNUMBER(((IF(J_V="SI",Datos!L12/Datos!K12,(Datos!L12+Datos!AB12)/(Datos!K12+Datos!AA12)))*11)/factor_trimestre),((IF(J_V="SI",Datos!L12/Datos!K12,(Datos!L12+Datos!AB12)/(Datos!K12+Datos!AA12)))*11)/factor_trimestre," - ")</f>
        <v>21.490963855421686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2.0131898646303367E-2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210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94</v>
      </c>
      <c r="AD14" s="1198">
        <f t="shared" si="2"/>
        <v>0</v>
      </c>
      <c r="AE14" s="1198">
        <f t="shared" si="2"/>
        <v>0</v>
      </c>
      <c r="AF14" s="1198">
        <f t="shared" si="2"/>
        <v>99</v>
      </c>
      <c r="AG14" s="1198">
        <f t="shared" si="2"/>
        <v>0</v>
      </c>
      <c r="AH14" s="1198">
        <f t="shared" si="2"/>
        <v>117</v>
      </c>
      <c r="AI14" s="1198">
        <f t="shared" si="2"/>
        <v>0</v>
      </c>
      <c r="AJ14" s="1198">
        <f t="shared" si="2"/>
        <v>0</v>
      </c>
      <c r="AK14" s="1198">
        <f t="shared" si="2"/>
        <v>0</v>
      </c>
      <c r="AL14" s="1198">
        <f t="shared" si="2"/>
        <v>0</v>
      </c>
      <c r="AM14" s="1198">
        <f t="shared" si="2"/>
        <v>5878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245</v>
      </c>
      <c r="BD14" s="1198">
        <f t="shared" si="2"/>
        <v>430</v>
      </c>
      <c r="BE14" s="1198">
        <f t="shared" si="2"/>
        <v>0</v>
      </c>
      <c r="BF14" s="1198">
        <f t="shared" si="2"/>
        <v>0</v>
      </c>
      <c r="BG14" s="1198">
        <f>IF(ISNUMBER(Datos!K14/Datos!J14),Datos!K14/Datos!J14," - ")</f>
        <v>0.81155778894472363</v>
      </c>
      <c r="BH14" s="1202">
        <f>IF(ISNUMBER(((Datos!L14/Datos!K14)*11)/factor_trimestre),((Datos!L14/Datos!K14)*11)/factor_trimestre," - ")</f>
        <v>22.034055727554183</v>
      </c>
      <c r="BI14" s="1198">
        <f>IF(ISNUMBER('Resol  Asuntos'!D14/NºAsuntos!G14),'Resol  Asuntos'!D14/NºAsuntos!G14," - ")</f>
        <v>0.2416173570019724</v>
      </c>
      <c r="BJ14" s="1198" t="str">
        <f>IF(ISNUMBER(Datos!CI14/Datos!CJ14),Datos!CI14/Datos!CJ14," - ")</f>
        <v xml:space="preserve"> - </v>
      </c>
      <c r="BK14" s="1198">
        <f>SUBTOTAL(9,BK8:BK13)</f>
        <v>0</v>
      </c>
      <c r="BL14" s="1198">
        <f>IF(ISNUMBER((I14-AB14+L14)/(F14)),(I14-AB14+L14)/(F14)," - ")</f>
        <v>-0.19354838709677419</v>
      </c>
      <c r="BM14" s="1203">
        <f>SUBTOTAL(9,BM9:BM13)</f>
        <v>2.0131898646303367E-2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3610</v>
      </c>
      <c r="G17" s="743">
        <f>IF(ISNUMBER(IF(D_I="SI",Datos!I17,Datos!I17+Datos!AC17)),IF(D_I="SI",Datos!I17,Datos!I17+Datos!AC17)," - ")</f>
        <v>3955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1227</v>
      </c>
      <c r="AC17" s="240">
        <f>IF(ISNUMBER(Datos!Q17),Datos!Q17," - ")</f>
        <v>118</v>
      </c>
      <c r="AD17" s="374"/>
      <c r="AE17" s="562"/>
      <c r="AF17" s="741">
        <f>IF(ISNUMBER(IF(D_I="SI",Datos!L17,Datos!L17+Datos!AF17)),IF(D_I="SI",Datos!L17,Datos!L17+Datos!AF17)," - ")</f>
        <v>3337</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167</v>
      </c>
      <c r="BD17" s="243">
        <f>IF(ISNUMBER(Datos!N17),Datos!N17," - ")</f>
        <v>959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1.2861635220125787</v>
      </c>
      <c r="BH17" s="764">
        <f>IF(ISNUMBER(((IF(D_I="SI",Datos!L17/Datos!K17,(Datos!L17+Datos!AF17)/(Datos!K17+Datos!AE17)))*11)/factor_trimestre),((IF(D_I="SI",Datos!L17/Datos!K17,(Datos!L17+Datos!AF17)/(Datos!K17+Datos!AE17)))*11)/factor_trimestre," - ")</f>
        <v>8.1589242053789732</v>
      </c>
      <c r="BI17" s="266">
        <f>IF(ISNUMBER('Resol  Asuntos'!D17/NºAsuntos!G17),'Resol  Asuntos'!D17/NºAsuntos!G17," - ")</f>
        <v>0.1361043194784026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2</v>
      </c>
      <c r="AD18" s="549"/>
      <c r="AE18" s="562"/>
      <c r="AF18" s="551">
        <f>IF(ISNUMBER(Datos!L18),Datos!L18,"-")</f>
        <v>125</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0.98076923076923073</v>
      </c>
      <c r="BH18" s="764">
        <f>IF(ISNUMBER(((IF(D_I="SI",Datos!L18/Datos!K18,(Datos!L18+Datos!AF18)/(Datos!K18+Datos!AE18)))*11)/factor_trimestre),((IF(D_I="SI",Datos!L18/Datos!K18,(Datos!L18+Datos!AF18)/(Datos!K18+Datos!AE18)))*11)/factor_trimestre," - ")</f>
        <v>3.6764705882352944</v>
      </c>
      <c r="BI18" s="763">
        <f>IF(ISNUMBER('Resol  Asuntos'!D18/NºAsuntos!G18),'Resol  Asuntos'!D18/NºAsuntos!G18," - ")</f>
        <v>0.39215686274509803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3610</v>
      </c>
      <c r="G23" s="1197">
        <f>SUBTOTAL(9,G16:G22)</f>
        <v>4078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1329</v>
      </c>
      <c r="AC23" s="1198">
        <f t="shared" si="5"/>
        <v>120</v>
      </c>
      <c r="AD23" s="1198">
        <f t="shared" si="5"/>
        <v>0</v>
      </c>
      <c r="AE23" s="1198">
        <f t="shared" si="5"/>
        <v>0</v>
      </c>
      <c r="AF23" s="1198">
        <f t="shared" si="5"/>
        <v>3462</v>
      </c>
      <c r="AG23" s="1198">
        <f t="shared" si="5"/>
        <v>0</v>
      </c>
      <c r="AH23" s="1198">
        <f t="shared" si="5"/>
        <v>0</v>
      </c>
      <c r="AI23" s="1198">
        <f t="shared" si="5"/>
        <v>0</v>
      </c>
      <c r="AJ23" s="1198">
        <f t="shared" si="5"/>
        <v>0</v>
      </c>
      <c r="AK23" s="1198">
        <f t="shared" si="5"/>
        <v>0</v>
      </c>
      <c r="AL23" s="1198">
        <f t="shared" si="5"/>
        <v>0</v>
      </c>
      <c r="AM23" s="1198">
        <f t="shared" si="5"/>
        <v>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207</v>
      </c>
      <c r="BD23" s="1198">
        <f t="shared" si="5"/>
        <v>1036</v>
      </c>
      <c r="BE23" s="1198">
        <f t="shared" si="5"/>
        <v>0</v>
      </c>
      <c r="BF23" s="1198">
        <f t="shared" si="5"/>
        <v>0</v>
      </c>
      <c r="BG23" s="1198">
        <f>IF(ISNUMBER(Datos!K23/Datos!J23),Datos!K23/Datos!J23," - ")</f>
        <v>1.2561436672967863</v>
      </c>
      <c r="BH23" s="1202">
        <f>IF(ISNUMBER(((Datos!L23/Datos!K23)*11)/factor_trimestre),((Datos!L23/Datos!K23)*11)/factor_trimestre," - ")</f>
        <v>7.8148984198645595</v>
      </c>
      <c r="BI23" s="1198">
        <f>SUBTOTAL(9,BI16:BI22)</f>
        <v>0.5282611822235006</v>
      </c>
      <c r="BJ23" s="1198">
        <f>SUBTOTAL(9,BJ16:BJ22)</f>
        <v>0</v>
      </c>
      <c r="BK23" s="1198">
        <f>SUBTOTAL(9,BK16:BK22)</f>
        <v>0</v>
      </c>
      <c r="BL23" s="1198">
        <f>IF(ISNUMBER((I23-AB23+L23)/(F23)),(I23-AB23+L23)/(F23)," - ")</f>
        <v>-0.36814404432132963</v>
      </c>
      <c r="BM23" s="1205">
        <f>IF(ISNUMBER((Datos!P23-Datos!Q23)/(Datos!R23-Datos!P23+Datos!Q23)),(Datos!P23-Datos!Q23)/(Datos!R23-Datos!P23+Datos!Q23)," - ")</f>
        <v>-0.26424870466321243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3703</v>
      </c>
      <c r="G31" s="1117">
        <f t="shared" si="18"/>
        <v>4171</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279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1347</v>
      </c>
      <c r="AC31" s="1118">
        <f t="shared" si="19"/>
        <v>214</v>
      </c>
      <c r="AD31" s="1118">
        <f t="shared" si="19"/>
        <v>0</v>
      </c>
      <c r="AE31" s="1118">
        <f t="shared" si="19"/>
        <v>0</v>
      </c>
      <c r="AF31" s="1125">
        <f t="shared" si="19"/>
        <v>3561</v>
      </c>
      <c r="AG31" s="1125">
        <f t="shared" si="19"/>
        <v>0</v>
      </c>
      <c r="AH31" s="1125">
        <f t="shared" si="19"/>
        <v>117</v>
      </c>
      <c r="AI31" s="1125">
        <f t="shared" si="19"/>
        <v>0</v>
      </c>
      <c r="AJ31" s="1118">
        <f t="shared" si="19"/>
        <v>0</v>
      </c>
      <c r="AK31" s="1125">
        <f t="shared" si="19"/>
        <v>0</v>
      </c>
      <c r="AL31" s="1125">
        <f t="shared" si="19"/>
        <v>0</v>
      </c>
      <c r="AM31" s="1125">
        <f t="shared" si="19"/>
        <v>6020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452</v>
      </c>
      <c r="BD31" s="1117">
        <f t="shared" si="19"/>
        <v>1466</v>
      </c>
      <c r="BE31" s="1117">
        <f t="shared" si="19"/>
        <v>0</v>
      </c>
      <c r="BF31" s="1127">
        <f t="shared" si="19"/>
        <v>0</v>
      </c>
      <c r="BG31" s="1223">
        <f>IF(ISNUMBER(Datos!K31/Datos!J31),Datos!K31/Datos!J31," - ")</f>
        <v>1.0204262877442274</v>
      </c>
      <c r="BH31" s="1223">
        <f>IF(ISNUMBER(((Datos!L31/Datos!K31)*11)/factor_trimestre),((Datos!L31/Datos!K31)*11)/factor_trimestre," - ")</f>
        <v>13.81070496083551</v>
      </c>
      <c r="BI31" s="1103">
        <f>IF(ISNUMBER(Datos!J31/Datos!I31),Datos!J31/Datos!I31," - ")</f>
        <v>0.20337758511695114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-0.36375911423170404</v>
      </c>
      <c r="BM31" s="1188">
        <f>IF(ISNUMBER((Datos!P31-Datos!Q31+R31)/(Datos!R31-Datos!P31+Datos!Q31-R31)),(Datos!P31-Datos!Q31+R31)/(Datos!R31-Datos!P31+Datos!Q31-R31)," - ")</f>
        <v>1.09151973131822E-2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1191.7142857142858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1840.6534346983051</v>
      </c>
      <c r="G33" s="674">
        <f>IF(ISNUMBER(STDEV(G8:G30)),STDEV(G8:G30),"-")</f>
        <v>1930.5981555194851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611.8301585057269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112.31842489738079</v>
      </c>
      <c r="BD33" s="673"/>
      <c r="BE33" s="673">
        <f>IF(ISNUMBER(STDEV(BE8:BE30)),STDEV(BE8:BE30),"-")</f>
        <v>0</v>
      </c>
      <c r="BF33" s="678">
        <f>IF(ISNUMBER(STDEV(BF8:BF30)),STDEV(BF8:BF30),"-")</f>
        <v>0</v>
      </c>
      <c r="BG33" s="1052">
        <f>IF(ISNUMBER(STDEV(BG8:BG30)),STDEV(BG8:BG30),"-")</f>
        <v>0.23606391723496201</v>
      </c>
      <c r="BH33" s="1058">
        <f>IF(ISNUMBER(STDEV(BH8:BH30)),STDEV(BH8:BH30),"-")</f>
        <v>7.7812896770728379</v>
      </c>
      <c r="BI33" s="273">
        <f>IF(ISNUMBER(STDEV(BI8:BI30)),STDEV(BI8:BI30),"-")</f>
        <v>0.1717153948899566</v>
      </c>
      <c r="BJ33" s="244" t="str">
        <f>IF(ISNUMBER(BL33/BM33),BL33/BM33," - ")</f>
        <v xml:space="preserve"> - </v>
      </c>
      <c r="BK33" s="709"/>
      <c r="BL33" s="681">
        <f>IF(ISNUMBER(STDEV(BL8:BL30)),STDEV(BL8:BL30),"-")</f>
        <v>0.12345777318920535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QfttBiykMbyn4CGgHAcGvoxtp1FbzUyqMaSokhheNH1A8ncs9EhfVNSlizNsuDMf+4DH03md+Ipa/7NXP3RwA==" saltValue="Y2/KJ8RKZpZ4ZRnPWrm4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GRANADILLA DE ABONA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0</v>
      </c>
      <c r="AA10" s="551">
        <f>IF(ISNUMBER(Datos!L10),Datos!L10,"-")</f>
        <v>99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v>
      </c>
      <c r="AA12" s="551" t="str">
        <f>IF(ISNUMBER(IF(J_V="SI",Datos!L12,Datos!L12+Datos!AB12)-IF(Monitorios="SI",Datos!CD12,0)),
                          IF(J_V="SI",Datos!L12,Datos!L12+Datos!AB12)-IF(Monitorios="SI",Datos!CD12,0),
                          " - ")</f>
        <v xml:space="preserve"> - </v>
      </c>
      <c r="AB12" s="549"/>
      <c r="AC12" s="549"/>
      <c r="AD12" s="563"/>
      <c r="AE12" s="563">
        <f>IF(ISNUMBER(Datos!R12),Datos!R12," - ")</f>
        <v>5878</v>
      </c>
      <c r="AF12" s="693" t="str">
        <f>IF(ISNUMBER(Datos!BV12),Datos!BV12," - ")</f>
        <v xml:space="preserve"> - </v>
      </c>
      <c r="AG12" s="552" t="str">
        <f>IF(ISNUMBER(Datos!DV12),Datos!DV12," - ")</f>
        <v xml:space="preserve"> - </v>
      </c>
      <c r="AH12" s="553"/>
      <c r="AI12" s="554"/>
      <c r="AJ12" s="552">
        <f>IF(ISNUMBER(Datos!M12),Datos!M12," - ")</f>
        <v>241</v>
      </c>
      <c r="AK12" s="693">
        <f>IF(ISNUMBER(Datos!N12),Datos!N12," - ")</f>
        <v>430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21.490963855421686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2.0131898646303367E-2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210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94</v>
      </c>
      <c r="AA14" s="1199">
        <f t="shared" si="3"/>
        <v>99</v>
      </c>
      <c r="AB14" s="1199">
        <f t="shared" si="3"/>
        <v>0</v>
      </c>
      <c r="AC14" s="1199">
        <f t="shared" si="3"/>
        <v>0</v>
      </c>
      <c r="AD14" s="1199">
        <f t="shared" si="3"/>
        <v>0</v>
      </c>
      <c r="AE14" s="1199">
        <f t="shared" si="3"/>
        <v>5878</v>
      </c>
      <c r="AF14" s="1211">
        <f t="shared" si="3"/>
        <v>0</v>
      </c>
      <c r="AG14" s="1211">
        <f t="shared" si="3"/>
        <v>0</v>
      </c>
      <c r="AH14" s="1211">
        <f t="shared" si="3"/>
        <v>0</v>
      </c>
      <c r="AI14" s="1211">
        <f t="shared" si="3"/>
        <v>0</v>
      </c>
      <c r="AJ14" s="1211">
        <f t="shared" si="3"/>
        <v>245</v>
      </c>
      <c r="AK14" s="1211">
        <f t="shared" si="3"/>
        <v>430</v>
      </c>
      <c r="AL14" s="1211">
        <f t="shared" si="3"/>
        <v>0</v>
      </c>
      <c r="AM14" s="1211">
        <f t="shared" si="3"/>
        <v>0</v>
      </c>
      <c r="AN14" s="1211">
        <f t="shared" si="3"/>
        <v>0</v>
      </c>
      <c r="AO14" s="1203">
        <f>IF(ISNUMBER(((NºAsuntos!I14/NºAsuntos!G14)*11)/factor_trimestre),((NºAsuntos!I14/NºAsuntos!G14)*11)/factor_trimestre," - ")</f>
        <v>21.402366863905328</v>
      </c>
      <c r="AP14" s="1213" t="str">
        <f>IF(ISNUMBER(Datos!CI14/Datos!CJ14),Datos!CI14/Datos!CJ14," - ")</f>
        <v xml:space="preserve"> - </v>
      </c>
      <c r="AQ14" s="1236">
        <f t="shared" ref="AQ14:AV14" si="4">SUBTOTAL(9,AQ9:AQ13)</f>
        <v>0</v>
      </c>
      <c r="AR14" s="1236">
        <f t="shared" si="4"/>
        <v>2.0131898646303367E-2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3610</v>
      </c>
      <c r="G17" s="552">
        <f>IF(ISNUMBER(IF(D_I="SI",Datos!I17,Datos!I17+Datos!AC17)),IF(D_I="SI",Datos!I17,Datos!I17+Datos!AC17)," - ")</f>
        <v>3955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1227</v>
      </c>
      <c r="Z17" s="805">
        <f>IF(ISNUMBER(Datos!Q17),Datos!Q17," - ")</f>
        <v>118</v>
      </c>
      <c r="AA17" s="551">
        <f>IF(ISNUMBER(IF(D_I="SI",Datos!L17,Datos!L17+Datos!AF17)),IF(D_I="SI",Datos!L17,Datos!L17+Datos!AF17)," - ")</f>
        <v>3337</v>
      </c>
      <c r="AB17" s="549"/>
      <c r="AC17" s="549"/>
      <c r="AD17" s="563"/>
      <c r="AE17" s="563">
        <f>IF(ISNUMBER(Datos!R17),Datos!R17," - ")</f>
        <v>131</v>
      </c>
      <c r="AF17" s="693" t="str">
        <f>IF(ISNUMBER(Datos!BV17),Datos!BV17," - ")</f>
        <v xml:space="preserve"> - </v>
      </c>
      <c r="AG17" s="552"/>
      <c r="AH17" s="553"/>
      <c r="AI17" s="554"/>
      <c r="AJ17" s="552">
        <f>IF(ISNUMBER(Datos!M17),Datos!M17," - ")</f>
        <v>167</v>
      </c>
      <c r="AK17" s="693">
        <f>IF(ISNUMBER(Datos!N17),Datos!N17," - ")</f>
        <v>959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8.1589242053789732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2</v>
      </c>
      <c r="AA18" s="551">
        <f>IF(ISNUMBER(Datos!L18),Datos!L18,"-")</f>
        <v>125</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40</v>
      </c>
      <c r="AK18" s="693">
        <f>IF(ISNUMBER(Datos!N18),Datos!N18," - ")</f>
        <v>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3.6764705882352944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3610</v>
      </c>
      <c r="G23" s="1197">
        <f>SUBTOTAL(9,G16:G22)</f>
        <v>4078</v>
      </c>
      <c r="H23" s="1240">
        <f>SUBTOTAL(9,H16:H22)</f>
        <v>0</v>
      </c>
      <c r="I23" s="1217">
        <f>SUBTOTAL(9,I16:I22)</f>
        <v>0</v>
      </c>
      <c r="J23" s="1164">
        <f>SUBTOTAL(9,J15:J22)</f>
        <v>0</v>
      </c>
      <c r="K23" s="1240">
        <f t="shared" ref="K23:S23" si="5">SUBTOTAL(9,K16:K22)</f>
        <v>0</v>
      </c>
      <c r="L23" s="1240">
        <f t="shared" si="5"/>
        <v>0</v>
      </c>
      <c r="M23" s="1240">
        <f t="shared" si="5"/>
        <v>0</v>
      </c>
      <c r="N23" s="1240">
        <f t="shared" si="5"/>
        <v>69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1329</v>
      </c>
      <c r="Z23" s="1240">
        <f t="shared" si="6"/>
        <v>120</v>
      </c>
      <c r="AA23" s="1240">
        <f t="shared" si="6"/>
        <v>3462</v>
      </c>
      <c r="AB23" s="1240">
        <f t="shared" si="6"/>
        <v>0</v>
      </c>
      <c r="AC23" s="1240">
        <f t="shared" si="6"/>
        <v>0</v>
      </c>
      <c r="AD23" s="1240">
        <f t="shared" si="6"/>
        <v>0</v>
      </c>
      <c r="AE23" s="1240">
        <f t="shared" si="6"/>
        <v>142</v>
      </c>
      <c r="AF23" s="1240">
        <f t="shared" si="6"/>
        <v>0</v>
      </c>
      <c r="AG23" s="1240">
        <f t="shared" si="6"/>
        <v>0</v>
      </c>
      <c r="AH23" s="1240">
        <f t="shared" si="6"/>
        <v>0</v>
      </c>
      <c r="AI23" s="1240">
        <f t="shared" si="6"/>
        <v>0</v>
      </c>
      <c r="AJ23" s="1240">
        <f t="shared" si="6"/>
        <v>207</v>
      </c>
      <c r="AK23" s="1240">
        <f t="shared" si="6"/>
        <v>1036</v>
      </c>
      <c r="AL23" s="1240">
        <f t="shared" si="6"/>
        <v>0</v>
      </c>
      <c r="AM23" s="1240">
        <f t="shared" si="6"/>
        <v>0</v>
      </c>
      <c r="AN23" s="1240">
        <f t="shared" si="6"/>
        <v>0</v>
      </c>
      <c r="AO23" s="1242">
        <f>IF(ISNUMBER(((NºAsuntos!I23/NºAsuntos!G23)*11)/factor_trimestre),((NºAsuntos!I23/NºAsuntos!G23)*11)/factor_trimestre," - ")</f>
        <v>7.8148984198645595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3703</v>
      </c>
      <c r="G31" s="1117">
        <f t="shared" si="12"/>
        <v>4171</v>
      </c>
      <c r="H31" s="1118">
        <f t="shared" si="12"/>
        <v>0</v>
      </c>
      <c r="I31" s="1117">
        <f t="shared" si="12"/>
        <v>0</v>
      </c>
      <c r="J31" s="1119">
        <f t="shared" si="12"/>
        <v>0</v>
      </c>
      <c r="K31" s="1117">
        <f t="shared" si="12"/>
        <v>0</v>
      </c>
      <c r="L31" s="1120">
        <f t="shared" si="12"/>
        <v>0</v>
      </c>
      <c r="M31" s="1117">
        <f t="shared" si="12"/>
        <v>0</v>
      </c>
      <c r="N31" s="1118">
        <f t="shared" si="12"/>
        <v>279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1347</v>
      </c>
      <c r="Z31" s="1124">
        <f t="shared" si="13"/>
        <v>214</v>
      </c>
      <c r="AA31" s="1125">
        <f t="shared" si="13"/>
        <v>3561</v>
      </c>
      <c r="AB31" s="1125">
        <f t="shared" si="13"/>
        <v>0</v>
      </c>
      <c r="AC31" s="1125">
        <f t="shared" si="13"/>
        <v>0</v>
      </c>
      <c r="AD31" s="1126">
        <f t="shared" si="13"/>
        <v>0</v>
      </c>
      <c r="AE31" s="1126">
        <f t="shared" si="13"/>
        <v>6020</v>
      </c>
      <c r="AF31" s="1127">
        <f t="shared" si="13"/>
        <v>0</v>
      </c>
      <c r="AG31" s="1128">
        <f t="shared" si="13"/>
        <v>0</v>
      </c>
      <c r="AH31" s="1129">
        <f t="shared" si="13"/>
        <v>0</v>
      </c>
      <c r="AI31" s="1127">
        <f t="shared" si="13"/>
        <v>0</v>
      </c>
      <c r="AJ31" s="1117">
        <f t="shared" si="13"/>
        <v>452</v>
      </c>
      <c r="AK31" s="1117">
        <f t="shared" si="13"/>
        <v>1466</v>
      </c>
      <c r="AL31" s="1117">
        <f t="shared" si="13"/>
        <v>0</v>
      </c>
      <c r="AM31" s="1130">
        <f t="shared" si="13"/>
        <v>0</v>
      </c>
      <c r="AN31" s="1120">
        <f>IF(ISNUMBER(Datos!K31/Datos!J31),Datos!K31/Datos!J31," - ")</f>
        <v>1.0204262877442274</v>
      </c>
      <c r="AO31" s="1120">
        <f>IF(ISNUMBER(FIND("06",Criterios!A8,1)),(IF(ISNUMBER(((Datos!R31/Datos!Q31)*11)/factor_trimestre),((Datos!R31/Datos!Q31)*11)/factor_trimestre," - ")),(IF(ISNUMBER(((Datos!L31/Datos!K31)*11)/factor_trimestre),((Datos!L31/Datos!K31)*11)/factor_trimestre," - ")))</f>
        <v>13.81070496083551</v>
      </c>
      <c r="AP31" s="1131" t="str">
        <f>IF(ISNUMBER(Datos!CI31/Datos!CJ31),Datos!CI31/Datos!CJ31," - ")</f>
        <v xml:space="preserve"> - </v>
      </c>
      <c r="AQ31" s="1131">
        <f>IF(OR(ISNUMBER(FIND("01",Criterios!A8,1)),ISNUMBER(FIND("02",Criterios!A8,1)),ISNUMBER(FIND("03",Criterios!A8,1)),ISNUMBER(FIND("04",Criterios!A8,1))),(J31-Y31+K31)/(F31-K31),(I31-Y31+K31)/(F31-K31))</f>
        <v>-0.36375911423170404</v>
      </c>
      <c r="AR31" s="1131">
        <f>IF(ISNUMBER((Datos!P31-Datos!Q31+O31)/(Datos!R31-Datos!P31+Datos!Q31-O31)),(Datos!P31-Datos!Q31+O31)/(Datos!R31-Datos!P31+Datos!Q31-O31)," - ")</f>
        <v>1.09151973131822E-2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1191.7142857142858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1840.6534346983051</v>
      </c>
      <c r="G33" s="674">
        <f>IF(ISNUMBER(STDEV(G8:G30)),STDEV(G8:G30),"-")</f>
        <v>1930.5981555194851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112.31842489738079</v>
      </c>
      <c r="AK33" s="276"/>
      <c r="AL33" s="276">
        <f>IF(ISNUMBER(STDEV(AL8:AL30)),STDEV(AL8:AL30),"-")</f>
        <v>0</v>
      </c>
      <c r="AM33" s="278">
        <f>IF(ISNUMBER(STDEV(AM8:AM30)),STDEV(AM8:AM30),"-")</f>
        <v>0</v>
      </c>
      <c r="AN33" s="660">
        <f>IF(ISNUMBER(STDEV(AN8:AN30)),STDEV(AN8:AN30),"-")</f>
        <v>0</v>
      </c>
      <c r="AO33" s="661">
        <f>IF(ISNUMBER(STDEV(AO8:AO30)),STDEV(AO8:AO30),"-")</f>
        <v>7.6421751471053678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L75G8DN7XrYgDX/e5+hxc3FoyFhsqzpRSsP1NT7krk+yy9idJWYLdETM7LYUYuTiKG2XvhSxLBNglnM/HsmQ==" saltValue="5jfCuJusGOWL106wEfpF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B1n5DA/GBD/tSIQoWn+UdNg3upJeAwF8TlHU0Ozeu+iEaDJolhcEqg3+G8draOr20SIWY2zX7UivIlX6uoX2A==" saltValue="xMS3PhBwMzhjDofDQ+CQ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HVrFfgYTr9pKlV2VHV3m3RwnIXEWFjGqbmeO2jlRcBDjW9mduUrZQmCtFNgNI3Wmigd3iLacci7i6uV1QVLA==" saltValue="6h3/MKZ4qPFecJye24SB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GRANADILLA DE ABONA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0.2416173570019724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0.17084927158846563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hjf/qSjqPEj2V2mYoVRjdR8is1jfBbBCe3f6h/S9lGXSyrVZwW8/c7dITVcJ/BfhI0ihe1tskWXYBQZ5EQ5mg==" saltValue="4nH1NSznRR8CGccKqgq4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Ufq3iLpmdVANvgSAcQg/uNGI9m/Hpx/heZ0fK2eXSXxub29K7KEJo4FnnAcGZwBmcv9qY6VqO/5ZlCWDiItLg==" saltValue="rFkjCIqB1SJ8B5usrNxe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GRANADILLA DE ABONA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93</v>
      </c>
      <c r="D10" s="452">
        <f>IF(ISNUMBER(C10/Datos!BH10),C10/Datos!BH10," - ")</f>
        <v>93</v>
      </c>
      <c r="E10" s="451">
        <f>IF(ISNUMBER(Datos!J10),Datos!J10," - ")</f>
        <v>24</v>
      </c>
      <c r="F10" s="452">
        <f>IF(ISNUMBER(E10/B10),E10/B10," - ")</f>
        <v>24</v>
      </c>
      <c r="G10" s="451">
        <f>IF(ISNUMBER(Datos!K10),Datos!K10," - ")</f>
        <v>18</v>
      </c>
      <c r="H10" s="452">
        <f>IF(ISNUMBER(G10/B10),G10/B10," - ")</f>
        <v>18</v>
      </c>
      <c r="I10" s="451">
        <f>IF(ISNUMBER(Datos!L10),Datos!L10," - ")</f>
        <v>99</v>
      </c>
      <c r="J10" s="452">
        <f>IF(ISNUMBER(I10/B10),I10/B10," - ")</f>
        <v>99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7011</v>
      </c>
      <c r="D12" s="452">
        <f>IF(ISNUMBER(C12/Datos!BH12),C12/Datos!BH12," - ")</f>
        <v>1752.75</v>
      </c>
      <c r="E12" s="451">
        <f>IF(ISNUMBER(IF(J_V="SI",Datos!J12,Datos!J12+Datos!Z12)),IF(J_V="SI",Datos!J12,Datos!J12+Datos!Z12)," - ")</f>
        <v>1223</v>
      </c>
      <c r="F12" s="452">
        <f>IF(ISNUMBER(E12/B12),E12/B12," - ")</f>
        <v>305.75</v>
      </c>
      <c r="G12" s="451">
        <f>IF(ISNUMBER(IF(J_V="SI",Datos!K12,Datos!K12+Datos!AA12)),IF(J_V="SI",Datos!K12,Datos!K12+Datos!AA12)," - ")</f>
        <v>996</v>
      </c>
      <c r="H12" s="452">
        <f>IF(ISNUMBER(G12/B12),G12/B12," - ")</f>
        <v>249</v>
      </c>
      <c r="I12" s="451">
        <f>IF(ISNUMBER(IF(J_V="SI",Datos!L12,Datos!L12+Datos!AB12)),IF(J_V="SI",Datos!L12,Datos!L12+Datos!AB12)," - ")</f>
        <v>7135</v>
      </c>
      <c r="J12" s="452">
        <f>IF(ISNUMBER(I12/B12),I12/B12," - ")</f>
        <v>1783.75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7104</v>
      </c>
      <c r="D14" s="1147" t="str">
        <f>IF(ISNUMBER(C14/Datos!BI14),C14/Datos!BI14," - ")</f>
        <v xml:space="preserve"> - </v>
      </c>
      <c r="E14" s="1146">
        <f>SUBTOTAL(9,E8:E13)</f>
        <v>1247</v>
      </c>
      <c r="F14" s="1147">
        <f>IF(ISNUMBER(E14/B14),E14/B14," - ")</f>
        <v>311.75</v>
      </c>
      <c r="G14" s="1146">
        <f>SUBTOTAL(9,G8:G13)</f>
        <v>1014</v>
      </c>
      <c r="H14" s="1147">
        <f>IF(ISNUMBER(G14/B14),G14/B14," - ")</f>
        <v>253.5</v>
      </c>
      <c r="I14" s="1146">
        <f>SUBTOTAL(9,I8:I13)</f>
        <v>7234</v>
      </c>
      <c r="J14" s="1147">
        <f>IF(ISNUMBER(I14/B14),I14/B14," - ")</f>
        <v>1808.5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3955</v>
      </c>
      <c r="D17" s="452">
        <f>IF(ISNUMBER(C17/Datos!BH17),C17/Datos!BH17," - ")</f>
        <v>988.75</v>
      </c>
      <c r="E17" s="451">
        <f>IF(ISNUMBER(IF(D_I="SI",Datos!J17,Datos!J17+Datos!AD17)),IF(D_I="SI",Datos!J17,Datos!J17+Datos!AD17)," - ")</f>
        <v>954</v>
      </c>
      <c r="F17" s="452">
        <f>IF(ISNUMBER(E17/B17),E17/B17," - ")</f>
        <v>238.5</v>
      </c>
      <c r="G17" s="451">
        <f>IF(ISNUMBER(IF(D_I="SI",Datos!K17,Datos!K17+Datos!AE17)),IF(D_I="SI",Datos!K17,Datos!K17+Datos!AE17)," - ")</f>
        <v>1227</v>
      </c>
      <c r="H17" s="452">
        <f>IF(ISNUMBER(G17/B17),G17/B17," - ")</f>
        <v>306.75</v>
      </c>
      <c r="I17" s="451">
        <f>IF(ISNUMBER(IF(D_I="SI",Datos!L17,Datos!L17+Datos!AF17)),IF(D_I="SI",Datos!L17,Datos!L17+Datos!AF17)," - ")</f>
        <v>3337</v>
      </c>
      <c r="J17" s="452">
        <f>IF(ISNUMBER(I17/B17),I17/B17," - ")</f>
        <v>834.25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123</v>
      </c>
      <c r="D18" s="452">
        <f>IF(ISNUMBER(C18/Datos!BH18),C18/Datos!BH18," - ")</f>
        <v>123</v>
      </c>
      <c r="E18" s="451">
        <f>IF(ISNUMBER(IF(D_I="SI",Datos!J18,Datos!J18+Datos!AD18)),IF(D_I="SI",Datos!J18,Datos!J18+Datos!AD18)," - ")</f>
        <v>104</v>
      </c>
      <c r="F18" s="452">
        <f>IF(ISNUMBER(E18/B18),E18/B18," - ")</f>
        <v>104</v>
      </c>
      <c r="G18" s="451">
        <f>IF(ISNUMBER(IF(D_I="SI",Datos!K18,Datos!K18+Datos!AE18)),IF(D_I="SI",Datos!K18,Datos!K18+Datos!AE18)," - ")</f>
        <v>102</v>
      </c>
      <c r="H18" s="452">
        <f>IF(ISNUMBER(G18/B18),G18/B18," - ")</f>
        <v>102</v>
      </c>
      <c r="I18" s="451">
        <f>IF(ISNUMBER(IF(D_I="SI",Datos!L18,Datos!L18+Datos!AF18)),IF(D_I="SI",Datos!L18,Datos!L18+Datos!AF18)," - ")</f>
        <v>125</v>
      </c>
      <c r="J18" s="452">
        <f>IF(ISNUMBER(I18/B18),I18/B18," - ")</f>
        <v>125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4078</v>
      </c>
      <c r="D23" s="1147" t="str">
        <f>IF(ISNUMBER(C23/Datos!BI23),C23/Datos!BI23," - ")</f>
        <v xml:space="preserve"> - </v>
      </c>
      <c r="E23" s="1146">
        <f>SUBTOTAL(9,E15:E22)</f>
        <v>1058</v>
      </c>
      <c r="F23" s="1147">
        <f>IF(ISNUMBER(E23/B23),E23/B23," - ")</f>
        <v>264.5</v>
      </c>
      <c r="G23" s="1146">
        <f>SUBTOTAL(9,G15:G22)</f>
        <v>1329</v>
      </c>
      <c r="H23" s="1147">
        <f>IF(ISNUMBER(G23/B23),G23/B23," - ")</f>
        <v>332.25</v>
      </c>
      <c r="I23" s="1146">
        <f>SUBTOTAL(9,I15:I22)</f>
        <v>3462</v>
      </c>
      <c r="J23" s="1147">
        <f>IF(ISNUMBER(I23/B23),I23/B23," - ")</f>
        <v>865.5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11182</v>
      </c>
      <c r="D31" s="1085" t="str">
        <f>IF(ISNUMBER(C31/Datos!BI31),C31/Datos!BI31," - ")</f>
        <v xml:space="preserve"> - </v>
      </c>
      <c r="E31" s="1084">
        <f>SUBTOTAL(9,E9:E30)</f>
        <v>2305</v>
      </c>
      <c r="F31" s="1085">
        <f>IF(ISNUMBER(E31/B31),E31/B31," - ")</f>
        <v>576.25</v>
      </c>
      <c r="G31" s="1084">
        <f>SUBTOTAL(9,G9:G30)</f>
        <v>2343</v>
      </c>
      <c r="H31" s="1085">
        <f>IF(ISNUMBER(G31/B31),G31/B31," - ")</f>
        <v>585.75</v>
      </c>
      <c r="I31" s="1084">
        <f>SUBTOTAL(9,I9:I30)</f>
        <v>10696</v>
      </c>
      <c r="J31" s="1085">
        <f>IF(ISNUMBER(I31/B31),I31/B31," - ")</f>
        <v>2674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snergKQMK/N88ZJ1nxXIUsLzUO/XWPqiIC2RxQsVFVuJ9vmoTXd4MAghXFnJT2So4msYqtV0onenvYaDu7qnQ==" saltValue="3GRqonY2SMQ8OnUCgwmI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GRANADILLA DE ABONA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99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241</v>
      </c>
      <c r="AM12" s="914">
        <f>IF(ISNUMBER(Datos!N12+DatosP!N17),Datos!N12+DatosP!N17," - ")</f>
        <v>430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21.490963855421686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2.0131898646303367E-2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210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94</v>
      </c>
      <c r="AE14" s="1257">
        <f t="shared" si="1"/>
        <v>0</v>
      </c>
      <c r="AF14" s="1257">
        <f t="shared" si="1"/>
        <v>99</v>
      </c>
      <c r="AG14" s="1257">
        <f t="shared" si="1"/>
        <v>0</v>
      </c>
      <c r="AH14" s="1257">
        <f t="shared" si="1"/>
        <v>5878</v>
      </c>
      <c r="AI14" s="1257">
        <f t="shared" si="1"/>
        <v>0</v>
      </c>
      <c r="AJ14" s="1257">
        <f t="shared" si="1"/>
        <v>0</v>
      </c>
      <c r="AK14" s="1257">
        <f t="shared" si="1"/>
        <v>0</v>
      </c>
      <c r="AL14" s="1257">
        <f t="shared" si="1"/>
        <v>245</v>
      </c>
      <c r="AM14" s="1257">
        <f t="shared" si="1"/>
        <v>430</v>
      </c>
      <c r="AN14" s="1257">
        <f t="shared" si="1"/>
        <v>0</v>
      </c>
      <c r="AO14" s="1257">
        <f t="shared" si="1"/>
        <v>0</v>
      </c>
      <c r="AP14" s="1262">
        <f>IF(ISNUMBER(((Datos!L14/Datos!K14)*11)/factor_trimestre),((Datos!L14/Datos!K14)*11)/factor_trimestre," - ")</f>
        <v>22.034055727554183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-0.19354838709677419</v>
      </c>
      <c r="AU14" s="1257" t="str">
        <f>IF(ISNUMBER((DatosP!#REF!-DatosP!#REF!+DatosP!#REF!)/(DatosP!#REF!+DatosP!#REF!-DatosP!#REF!-DatosP!#REF!)),(DatosP!#REF!-DatosP!#REF!+DatosP!#REF!)/(DatosP!#REF!+DatosP!#REF!-DatosP!#REF!-DatosP!#REF!)," - ")</f>
        <v xml:space="preserve"> - </v>
      </c>
      <c r="AV14" s="1263">
        <f>SUBTOTAL(9,AV9:AV13)</f>
        <v>2.0131898646303367E-2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7.8148984198645595</v>
      </c>
      <c r="AQ23" s="1262">
        <f>IF(ISNUMBER(((Datos!M23/Datos!L23)*11)/factor_trimestre),((Datos!M23/Datos!L23)*11)/factor_trimestre," - ")</f>
        <v>0.17937608318890816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-0.26424870466321243</v>
      </c>
      <c r="AW23" s="1265">
        <f>IF(ISNUMBER((Datos!Q23-Datos!R23)/(Datos!S23-Datos!Q23+Datos!R23)),(Datos!Q23-Datos!R23)/(Datos!S23-Datos!Q23+Datos!R23)," - ")</f>
        <v>-6.2624537432393965E-3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210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94</v>
      </c>
      <c r="AE31" s="1284">
        <f t="shared" si="9"/>
        <v>0</v>
      </c>
      <c r="AF31" s="1285">
        <f t="shared" si="9"/>
        <v>99</v>
      </c>
      <c r="AG31" s="1285">
        <f t="shared" si="9"/>
        <v>0</v>
      </c>
      <c r="AH31" s="1285">
        <f t="shared" si="9"/>
        <v>5878</v>
      </c>
      <c r="AI31" s="1285">
        <f t="shared" si="9"/>
        <v>0</v>
      </c>
      <c r="AJ31" s="1286">
        <f t="shared" si="9"/>
        <v>0</v>
      </c>
      <c r="AK31" s="1286">
        <f t="shared" si="9"/>
        <v>0</v>
      </c>
      <c r="AL31" s="1278">
        <f t="shared" si="9"/>
        <v>245</v>
      </c>
      <c r="AM31" s="1278">
        <f t="shared" si="9"/>
        <v>430</v>
      </c>
      <c r="AN31" s="1278">
        <f t="shared" si="9"/>
        <v>0</v>
      </c>
      <c r="AO31" s="1278">
        <f t="shared" si="9"/>
        <v>0</v>
      </c>
      <c r="AP31" s="1278">
        <f>IF(ISNUMBER(((Datos!L31/Datos!K31)*11)/factor_trimestre),((Datos!L31/Datos!K31)*11)/factor_trimestre," - ")</f>
        <v>13.81070496083551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-0.19354838709677419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1.09151973131822E-2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124.98426567639092</v>
      </c>
      <c r="AM33" s="1006"/>
      <c r="AN33" s="1006">
        <f>IF(ISNUMBER(STDEV(AN8:AN30)),STDEV(AN8:AN30),"-")</f>
        <v>0</v>
      </c>
      <c r="AO33" s="1012">
        <f>IF(ISNUMBER(STDEV(AO8:AO30)),STDEV(AO8:AO30),"-")</f>
        <v>0</v>
      </c>
      <c r="AP33" s="1065">
        <f>IF(ISNUMBER(STDEV(AP8:AP30)),STDEV(AP8:AP30),"-")</f>
        <v>6.5858473991526774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HaQcQGU0vB9Sq35nAMtJQgE2ZJCkImyhDpFBiceOaz7FohEeAgmJCQo8/dSqb1qzYBv8HJIlcb0f9Wo+x1PNw==" saltValue="RSzptZMmUhNJL5BFbMZh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GRANADILLA DE ABONA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a/VldZypQZJ/FrErxEXFK6WS2vbqyvSmLxWUdTX4jbLZgMGupmMZmSgobnkQt0AU25Ng11kTOqKxCIUG/toRA==" saltValue="pgHndtba2fx8lrpcPf+3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GRANADILLA DE ABONA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241</v>
      </c>
      <c r="E12" s="452">
        <f t="shared" si="0"/>
        <v>60.25</v>
      </c>
      <c r="F12" s="451">
        <f>IF(ISNUMBER(Datos!N12),Datos!N12," - ")</f>
        <v>430</v>
      </c>
      <c r="G12" s="452">
        <f t="shared" si="1"/>
        <v>107.5</v>
      </c>
      <c r="H12" s="451">
        <f>IF(ISNUMBER(Datos!O12),Datos!O12," - ")</f>
        <v>313</v>
      </c>
      <c r="I12" s="452">
        <f t="shared" si="2"/>
        <v>78.25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245</v>
      </c>
      <c r="E14" s="1147">
        <f t="shared" si="0"/>
        <v>49</v>
      </c>
      <c r="F14" s="1146">
        <f>SUBTOTAL(9,F9:F13)</f>
        <v>430</v>
      </c>
      <c r="G14" s="1147">
        <f t="shared" si="1"/>
        <v>86</v>
      </c>
      <c r="H14" s="1146">
        <f>SUBTOTAL(9,H9:H13)</f>
        <v>313</v>
      </c>
      <c r="I14" s="1147">
        <f>IF(ISNUMBER(H14/B14),H14/B14," - ")</f>
        <v>62.6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167</v>
      </c>
      <c r="E17" s="452">
        <f t="shared" si="3"/>
        <v>41.75</v>
      </c>
      <c r="F17" s="451">
        <f>IF(ISNUMBER(Datos!N17),Datos!N17," - ")</f>
        <v>959</v>
      </c>
      <c r="G17" s="452">
        <f t="shared" si="4"/>
        <v>239.75</v>
      </c>
      <c r="H17" s="451">
        <f>IF(ISNUMBER(Datos!O17),Datos!O17," - ")</f>
        <v>0</v>
      </c>
      <c r="I17" s="452">
        <f t="shared" si="5"/>
        <v>0</v>
      </c>
    </row>
    <row r="18" spans="1:9">
      <c r="A18" s="450" t="str">
        <f>Datos!A18</f>
        <v>Jdos. Violencia contra la mujer</v>
      </c>
      <c r="B18" s="480">
        <f>Datos!AO18</f>
        <v>1</v>
      </c>
      <c r="C18" s="481">
        <f>Datos!AQ18</f>
        <v>0</v>
      </c>
      <c r="D18" s="451">
        <f>IF(ISNUMBER(Datos!M18),Datos!M18," - ")</f>
        <v>40</v>
      </c>
      <c r="E18" s="452">
        <f>IF(ISNUMBER(D18/B18),D18/B18," - ")</f>
        <v>40</v>
      </c>
      <c r="F18" s="451">
        <f>IF(ISNUMBER(Datos!N18),Datos!N18," - ")</f>
        <v>77</v>
      </c>
      <c r="G18" s="452">
        <f>IF(ISNUMBER(F18/B18),F18/B18," - ")</f>
        <v>77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207</v>
      </c>
      <c r="E23" s="1147">
        <f t="shared" si="3"/>
        <v>41.4</v>
      </c>
      <c r="F23" s="1146">
        <f>SUBTOTAL(9,F16:F22)</f>
        <v>1036</v>
      </c>
      <c r="G23" s="1147">
        <f t="shared" si="4"/>
        <v>207.2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452</v>
      </c>
      <c r="E31" s="1085">
        <f>IF(ISNUMBER(D31/B31),D31/B31," - ")</f>
        <v>113</v>
      </c>
      <c r="F31" s="1084">
        <f>SUBTOTAL(9,F8:F30)</f>
        <v>1466</v>
      </c>
      <c r="G31" s="1085">
        <f>IF(ISNUMBER(F31/B31),F31/B31," - ")</f>
        <v>366.5</v>
      </c>
      <c r="H31" s="1084">
        <f>SUBTOTAL(9,H8:H30)</f>
        <v>313</v>
      </c>
      <c r="I31" s="1085">
        <f>IF(ISNUMBER(H31/B31),H31/B31," - ")</f>
        <v>78.25</v>
      </c>
    </row>
    <row r="34" spans="1:1">
      <c r="A34" s="439" t="str">
        <f>Criterios!A4</f>
        <v>Fecha Informe: 05 may. 2023</v>
      </c>
    </row>
    <row r="39" spans="1:1">
      <c r="A39" s="462"/>
    </row>
  </sheetData>
  <sheetProtection algorithmName="SHA-512" hashValue="tgkYoLAFptXV5+OTbI7BsDYYYRn8jRFkILc3D4AuUgzC8M5zdQLAG8lRAf2T4WEBpVMFwGfQiy6go4Nl7A5/Bg==" saltValue="p36xsrG2dxKcm0wIawl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GRANADILLA DE ABONA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210</v>
      </c>
      <c r="C12" s="489">
        <f>IF(ISNUMBER(Datos!Q12),Datos!Q12," - ")</f>
        <v>94</v>
      </c>
      <c r="D12" s="456">
        <f>IF(ISNUMBER(Datos!R12),Datos!R12," - ")</f>
        <v>5878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210</v>
      </c>
      <c r="C14" s="1150">
        <f>SUBTOTAL(9,C9:C13)</f>
        <v>94</v>
      </c>
      <c r="D14" s="1148">
        <f>SUBTOTAL(9,D9:D13)</f>
        <v>5878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64</v>
      </c>
      <c r="C17" s="489">
        <f>IF(ISNUMBER(Datos!Q17),Datos!Q17," - ")</f>
        <v>118</v>
      </c>
      <c r="D17" s="456">
        <f>IF(ISNUMBER(Datos!R17),Datos!R17," - ")</f>
        <v>131</v>
      </c>
    </row>
    <row r="18" spans="1:4">
      <c r="A18" s="450" t="str">
        <f>Datos!A18</f>
        <v>Jdos. Violencia contra la mujer</v>
      </c>
      <c r="B18" s="488">
        <f>IF(ISNUMBER(Datos!P18),Datos!P18," - ")</f>
        <v>5</v>
      </c>
      <c r="C18" s="489">
        <f>IF(ISNUMBER(Datos!Q18),Datos!Q18," - ")</f>
        <v>2</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69</v>
      </c>
      <c r="C23" s="1150">
        <f>SUBTOTAL(9,C16:C22)</f>
        <v>120</v>
      </c>
      <c r="D23" s="1148">
        <f>SUBTOTAL(9,D16:D22)</f>
        <v>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279</v>
      </c>
      <c r="C31" s="1089">
        <f>SUBTOTAL(9,C8:C30)</f>
        <v>214</v>
      </c>
      <c r="D31" s="1090">
        <f>SUBTOTAL(9,D8:D30)</f>
        <v>6020</v>
      </c>
    </row>
    <row r="32" spans="1:4" ht="7.5" customHeight="1"/>
    <row r="33" spans="1:1" ht="6" customHeight="1"/>
    <row r="34" spans="1:1">
      <c r="A34" s="439" t="str">
        <f>Criterios!A4</f>
        <v>Fecha Informe: 05 may. 2023</v>
      </c>
    </row>
    <row r="39" spans="1:1">
      <c r="A39" s="462"/>
    </row>
  </sheetData>
  <sheetProtection algorithmName="SHA-512" hashValue="o7vbjuHbBfaz2xZFLXs7enaIaCXrjpOjT6E2R94BHTW6MzMbbRM+dZDWZoFIVQ+Mcdk+hQtrvi0aEMU6HX6OsQ==" saltValue="ji5ldDTEW0emzCxARN/I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GRANADILLA DE ABONA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0.12048192771084337</v>
      </c>
      <c r="C10" s="515">
        <f>IF(ISNUMBER((Datos!J10-Datos!T10)/Datos!T10),(Datos!J10-Datos!T10)/Datos!T10," - ")</f>
        <v>0.7142857142857143</v>
      </c>
      <c r="D10" s="515">
        <f>IF(ISNUMBER((Datos!K10-Datos!U10)/Datos!U10),(Datos!K10-Datos!U10)/Datos!U10," - ")</f>
        <v>0.8</v>
      </c>
      <c r="E10" s="515">
        <f>IF(ISNUMBER((Datos!L10-Datos!V10)/Datos!V10),(Datos!L10-Datos!V10)/Datos!V10," - ")</f>
        <v>0.13793103448275862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4.9999999999999975E-2</v>
      </c>
      <c r="I10" s="515">
        <f>IF(ISNUMBER(((NºAsuntos!I10/NºAsuntos!G10)-Datos!BE10)/Datos!BE10),((NºAsuntos!I10/NºAsuntos!G10)-Datos!BE10)/Datos!BE10," - ")</f>
        <v>-0.36781609195402293</v>
      </c>
      <c r="J10" s="521">
        <f>IF(ISNUMBER((('Resol  Asuntos'!D10/NºAsuntos!G10)-Datos!BF10)/Datos!BF10),(('Resol  Asuntos'!D10/NºAsuntos!G10)-Datos!BF10)/Datos!BF10," - ")</f>
        <v>-0.44444444444444453</v>
      </c>
      <c r="K10" s="522">
        <f>IF(ISNUMBER((((NºAsuntos!C10+NºAsuntos!E10)/NºAsuntos!G10)-Datos!BG10)/Datos!BG10),(((NºAsuntos!C10+NºAsuntos!E10)/NºAsuntos!G10)-Datos!BG10)/Datos!BG10," - ")</f>
        <v>-0.32989690721649478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0.17319277108433734</v>
      </c>
      <c r="C12" s="515">
        <f>IF(ISNUMBER(
   IF(J_V="SI",(Datos!J12-Datos!T12)/Datos!T12,(Datos!J12+Datos!Z12-(Datos!T12+Datos!AH12))/(Datos!T12+Datos!AH12))
     ),IF(J_V="SI",(Datos!J12-Datos!T12)/Datos!T12,(Datos!J12+Datos!Z12-(Datos!T12+Datos!AH12))/(Datos!T12+Datos!AH12))," - ")</f>
        <v>-8.2520630157539382E-2</v>
      </c>
      <c r="D12" s="515">
        <f>IF(ISNUMBER(
   IF(J_V="SI",(Datos!K12-Datos!U12)/Datos!U12,(Datos!K12+Datos!AA12-(Datos!U12+Datos!AI12))/(Datos!U12+Datos!AI12))
     ),IF(J_V="SI",(Datos!K12-Datos!U12)/Datos!U12,(Datos!K12+Datos!AA12-(Datos!U12+Datos!AI12))/(Datos!U12+Datos!AI12))," - ")</f>
        <v>8.6150490730643403E-2</v>
      </c>
      <c r="E12" s="515">
        <f>IF(ISNUMBER(
   IF(J_V="SI",(Datos!L12-Datos!V12)/Datos!V12,(Datos!L12+Datos!AB12-(Datos!V12+Datos!AJ12))/(Datos!V12+Datos!AJ12))
     ),IF(J_V="SI",(Datos!L12-Datos!V12)/Datos!V12,(Datos!L12+Datos!AB12-(Datos!V12+Datos!AJ12))/(Datos!V12+Datos!AJ12))," - ")</f>
        <v>0.11641370677515256</v>
      </c>
      <c r="F12" s="515">
        <f>IF(ISNUMBER((Datos!M12-Datos!W12)/Datos!W12),(Datos!M12-Datos!W12)/Datos!W12," - ")</f>
        <v>0.15311004784688995</v>
      </c>
      <c r="G12" s="516">
        <f>IF(ISNUMBER((Datos!N12-Datos!X12)/Datos!X12),(Datos!N12-Datos!X12)/Datos!X12," - ")</f>
        <v>0.31901840490797545</v>
      </c>
      <c r="H12" s="514">
        <f>IF(ISNUMBER(((NºAsuntos!G12/NºAsuntos!E12)-Datos!BD12)/Datos!BD12),((NºAsuntos!G12/NºAsuntos!E12)-Datos!BD12)/Datos!BD12," - ")</f>
        <v>0.18384186765653948</v>
      </c>
      <c r="I12" s="515">
        <f>IF(ISNUMBER(((NºAsuntos!I12/NºAsuntos!G12)-Datos!BE12)/Datos!BE12),((NºAsuntos!I12/NºAsuntos!G12)-Datos!BE12)/Datos!BE12," - ")</f>
        <v>2.786282039439238E-2</v>
      </c>
      <c r="J12" s="521">
        <f>IF(ISNUMBER((('Resol  Asuntos'!D12/NºAsuntos!G12)-Datos!BF12)/Datos!BF12),(('Resol  Asuntos'!D12/NºAsuntos!G12)-Datos!BF12)/Datos!BF12," - ")</f>
        <v>-0.3193725823539556</v>
      </c>
      <c r="K12" s="522">
        <f>IF(ISNUMBER((((NºAsuntos!C12+NºAsuntos!E12)/NºAsuntos!G12)-Datos!BG12)/Datos!BG12),(((NºAsuntos!C12+NºAsuntos!E12)/NºAsuntos!G12)-Datos!BG12)/Datos!BG12," - ")</f>
        <v>3.7200931238979815E-2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0.17247070473675524</v>
      </c>
      <c r="C14" s="1152">
        <f>IF(ISNUMBER(
   IF(J_V="SI",(Datos!J14-Datos!T14)/Datos!T14,(Datos!J14+Datos!Z14-(Datos!T14+Datos!AH14))/(Datos!T14+Datos!AH14))
     ),IF(J_V="SI",(Datos!J14-Datos!T14)/Datos!T14,(Datos!J14+Datos!Z14-(Datos!T14+Datos!AH14))/(Datos!T14+Datos!AH14))," - ")</f>
        <v>-7.4239049740163321E-2</v>
      </c>
      <c r="D14" s="1152">
        <f>IF(ISNUMBER(
   IF(J_V="SI",(Datos!K14-Datos!U14)/Datos!U14,(Datos!K14+Datos!AA14-(Datos!U14+Datos!AI14))/(Datos!U14+Datos!AI14))
     ),IF(J_V="SI",(Datos!K14-Datos!U14)/Datos!U14,(Datos!K14+Datos!AA14-(Datos!U14+Datos!AI14))/(Datos!U14+Datos!AI14))," - ")</f>
        <v>9.3851132686084138E-2</v>
      </c>
      <c r="E14" s="1152">
        <f>IF(ISNUMBER(
   IF(J_V="SI",(Datos!L14-Datos!V14)/Datos!V14,(Datos!L14+Datos!AB14-(Datos!V14+Datos!AJ14))/(Datos!V14+Datos!AJ14))
     ),IF(J_V="SI",(Datos!L14-Datos!V14)/Datos!V14,(Datos!L14+Datos!AB14-(Datos!V14+Datos!AJ14))/(Datos!V14+Datos!AJ14))," - ")</f>
        <v>0.11670268601420192</v>
      </c>
      <c r="F14" s="1153">
        <f>IF(ISNUMBER((Datos!M14-Datos!W14)/Datos!W14),(Datos!M14-Datos!W14)/Datos!W14," - ")</f>
        <v>0.15023474178403756</v>
      </c>
      <c r="G14" s="1154">
        <f>IF(ISNUMBER((Datos!N14-Datos!X14)/Datos!X14),(Datos!N14-Datos!X14)/Datos!X14," - ")</f>
        <v>0.31901840490797545</v>
      </c>
      <c r="H14" s="1154">
        <f>IF(ISNUMBER(((NºAsuntos!G14/NºAsuntos!E14)-Datos!BD14)/Datos!BD14),((NºAsuntos!G14/NºAsuntos!E14)-Datos!BD14)/Datos!BD14," - ")</f>
        <v>0.18156974797767073</v>
      </c>
      <c r="I14" s="1154">
        <f>IF(ISNUMBER(((NºAsuntos!I14/NºAsuntos!G14)-Datos!BE14)/Datos!BE14),((NºAsuntos!I14/NºAsuntos!G14)-Datos!BE14)/Datos!BE14," - ")</f>
        <v>2.0890917095823622E-2</v>
      </c>
      <c r="J14" s="1154">
        <f>IF(ISNUMBER((('Resol  Asuntos'!D14/NºAsuntos!G14)-Datos!BF14)/Datos!BF14),(('Resol  Asuntos'!D14/NºAsuntos!G14)-Datos!BF14)/Datos!BF14," - ")</f>
        <v>-0.32127487896718659</v>
      </c>
      <c r="K14" s="1154">
        <f>IF(ISNUMBER((((NºAsuntos!C14+NºAsuntos!E14)/NºAsuntos!G14)-Datos!BG14)/Datos!BG14),(((NºAsuntos!C14+NºAsuntos!E14)/NºAsuntos!G14)-Datos!BG14)/Datos!BG14," - ")</f>
        <v>3.0852563170434309E-2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0.17115783239561741</v>
      </c>
      <c r="C17" s="515">
        <f>IF(ISNUMBER(
   IF(D_I="SI",(Datos!J17-Datos!T17)/Datos!T17,(Datos!J17+Datos!AD17-(Datos!T17+Datos!AL17))/(Datos!T17+Datos!AL17))
     ),IF(D_I="SI",(Datos!J17-Datos!T17)/Datos!T17,(Datos!J17+Datos!AD17-(Datos!T17+Datos!AL17))/(Datos!T17+Datos!AL17))," - ")</f>
        <v>-0.10169491525423729</v>
      </c>
      <c r="D17" s="515">
        <f>IF(ISNUMBER(
   IF(D_I="SI",(Datos!K17-Datos!U17)/Datos!U17,(Datos!K17+Datos!AE17-(Datos!U17+Datos!AM17))/(Datos!U17+Datos!AM17))
     ),IF(D_I="SI",(Datos!K17-Datos!U17)/Datos!U17,(Datos!K17+Datos!AE17-(Datos!U17+Datos!AM17))/(Datos!U17+Datos!AM17))," - ")</f>
        <v>2.3352793994995829E-2</v>
      </c>
      <c r="E17" s="515">
        <f>IF(ISNUMBER(
   IF(D_I="SI",(Datos!L17-Datos!V17)/Datos!V17,(Datos!L17+Datos!AF17-(Datos!V17+Datos!AN17))/(Datos!V17+Datos!AN17))
     ),IF(D_I="SI",(Datos!L17-Datos!V17)/Datos!V17,(Datos!L17+Datos!AF17-(Datos!V17+Datos!AN17))/(Datos!V17+Datos!AN17))," - ")</f>
        <v>2.9620487503856836E-2</v>
      </c>
      <c r="F17" s="515">
        <f>IF(ISNUMBER((Datos!M17-Datos!W17)/Datos!W17),(Datos!M17-Datos!W17)/Datos!W17," - ")</f>
        <v>-0.15228426395939088</v>
      </c>
      <c r="G17" s="516">
        <f>IF(ISNUMBER((Datos!N17-Datos!X17)/Datos!X17),(Datos!N17-Datos!X17)/Datos!X17," - ")</f>
        <v>9.8510882016036652E-2</v>
      </c>
      <c r="H17" s="514">
        <f>IF(ISNUMBER(((NºAsuntos!G17/NºAsuntos!E17)-Datos!BD17)/Datos!BD17),((NºAsuntos!G17/NºAsuntos!E17)-Datos!BD17)/Datos!BD17," - ")</f>
        <v>0.13920405369254266</v>
      </c>
      <c r="I17" s="515">
        <f>IF(ISNUMBER(((NºAsuntos!I17/NºAsuntos!G17)-Datos!BE17)/Datos!BE17),((NºAsuntos!I17/NºAsuntos!G17)-Datos!BE17)/Datos!BE17," - ")</f>
        <v>6.1246654581290335E-3</v>
      </c>
      <c r="J17" s="521">
        <f>IF(ISNUMBER((('Resol  Asuntos'!D17/NºAsuntos!G17)-Datos!BF17)/Datos!BF17),(('Resol  Asuntos'!D17/NºAsuntos!G17)-Datos!BF17)/Datos!BF17," - ")</f>
        <v>-0.17162904033195581</v>
      </c>
      <c r="K17" s="522">
        <f>IF(ISNUMBER((((NºAsuntos!C17+NºAsuntos!E17)/NºAsuntos!G17)-Datos!BG17)/Datos!BG17),(((NºAsuntos!C17+NºAsuntos!E17)/NºAsuntos!G17)-Datos!BG17)/Datos!BG17," - ")</f>
        <v>8.0643654001824674E-2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7.8947368421052627E-2</v>
      </c>
      <c r="C18" s="515">
        <f>IF(ISNUMBER(
   IF(D_I="SI",(Datos!J18-Datos!T18)/Datos!T18,(Datos!J18+Datos!AD18-(Datos!T18+Datos!AL18))/(Datos!T18+Datos!AL18))
     ),IF(D_I="SI",(Datos!J18-Datos!T18)/Datos!T18,(Datos!J18+Datos!AD18-(Datos!T18+Datos!AL18))/(Datos!T18+Datos!AL18))," - ")</f>
        <v>0.2839506172839506</v>
      </c>
      <c r="D18" s="515">
        <f>IF(ISNUMBER(
   IF(D_I="SI",(Datos!K18-Datos!U18)/Datos!U18,(Datos!K18+Datos!AE18-(Datos!U18+Datos!AM18))/(Datos!U18+Datos!AM18))
     ),IF(D_I="SI",(Datos!K18-Datos!U18)/Datos!U18,(Datos!K18+Datos!AE18-(Datos!U18+Datos!AM18))/(Datos!U18+Datos!AM18))," - ")</f>
        <v>0.15909090909090909</v>
      </c>
      <c r="E18" s="515">
        <f>IF(ISNUMBER(
   IF(D_I="SI",(Datos!L18-Datos!V18)/Datos!V18,(Datos!L18+Datos!AF18-(Datos!V18+Datos!AN18))/(Datos!V18+Datos!AN18))
     ),IF(D_I="SI",(Datos!L18-Datos!V18)/Datos!V18,(Datos!L18+Datos!AF18-(Datos!V18+Datos!AN18))/(Datos!V18+Datos!AN18))," - ")</f>
        <v>0.16822429906542055</v>
      </c>
      <c r="F18" s="515">
        <f>IF(ISNUMBER((Datos!M18-Datos!W18)/Datos!W18),(Datos!M18-Datos!W18)/Datos!W18," - ")</f>
        <v>5.2631578947368418E-2</v>
      </c>
      <c r="G18" s="516">
        <f>IF(ISNUMBER((Datos!N18-Datos!X18)/Datos!X18),(Datos!N18-Datos!X18)/Datos!X18," - ")</f>
        <v>0.1</v>
      </c>
      <c r="H18" s="514">
        <f>IF(ISNUMBER(((NºAsuntos!G18/NºAsuntos!E18)-Datos!BD18)/Datos!BD18),((NºAsuntos!G18/NºAsuntos!E18)-Datos!BD18)/Datos!BD18," - ")</f>
        <v>-9.7246503496503489E-2</v>
      </c>
      <c r="I18" s="515">
        <f>IF(ISNUMBER(((NºAsuntos!I18/NºAsuntos!G18)-Datos!BE18)/Datos!BE18),((NºAsuntos!I18/NºAsuntos!G18)-Datos!BE18)/Datos!BE18," - ")</f>
        <v>7.8797874289904257E-3</v>
      </c>
      <c r="J18" s="521">
        <f>IF(ISNUMBER((('Resol  Asuntos'!D18/NºAsuntos!G18)-Datos!BF18)/Datos!BF18),(('Resol  Asuntos'!D18/NºAsuntos!G18)-Datos!BF18)/Datos!BF18," - ")</f>
        <v>-9.1847265221878249E-2</v>
      </c>
      <c r="K18" s="522">
        <f>IF(ISNUMBER((((NºAsuntos!C18+NºAsuntos!E18)/NºAsuntos!G18)-Datos!BG18)/Datos!BG18),(((NºAsuntos!C18+NºAsuntos!E18)/NºAsuntos!G18)-Datos!BG18)/Datos!BG18," - ")</f>
        <v>4.3237807943691054E-3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0.16814666284732169</v>
      </c>
      <c r="C23" s="1152">
        <f>IF(ISNUMBER(
   IF(Criterios!B14="SI",(Datos!J23-Datos!T23)/Datos!T23,(Datos!J23+Datos!AD23-(Datos!T23+Datos!AL23))/(Datos!T23+Datos!AL23))
     ),IF(Criterios!B14="SI",(Datos!J23-Datos!T23)/Datos!T23,(Datos!J23+Datos!AD23-(Datos!T23+Datos!AL23))/(Datos!T23+Datos!AL23))," - ")</f>
        <v>-7.4365704286964124E-2</v>
      </c>
      <c r="D23" s="1152">
        <f>IF(ISNUMBER(
   IF(Criterios!B14="SI",(Datos!K23-Datos!U23)/Datos!U23,(Datos!K23+Datos!AE23-(Datos!U23+Datos!AM23))/(Datos!U23+Datos!AM23))
     ),IF(Criterios!B14="SI",(Datos!K23-Datos!U23)/Datos!U23,(Datos!K23+Datos!AE23-(Datos!U23+Datos!AM23))/(Datos!U23+Datos!AM23))," - ")</f>
        <v>3.2634032634032632E-2</v>
      </c>
      <c r="E23" s="1152">
        <f>IF(ISNUMBER(
   IF(Criterios!B14="SI",(Datos!L23-Datos!V23)/Datos!V23,(Datos!L23+Datos!AF23-(Datos!V23+Datos!AN23))/(Datos!V23+Datos!AN23))
     ),IF(Criterios!B14="SI",(Datos!L23-Datos!V23)/Datos!V23,(Datos!L23+Datos!AF23-(Datos!V23+Datos!AN23))/(Datos!V23+Datos!AN23))," - ")</f>
        <v>3.4050179211469536E-2</v>
      </c>
      <c r="F23" s="1153">
        <f>IF(ISNUMBER((Datos!M23-Datos!W23)/Datos!W23),(Datos!M23-Datos!W23)/Datos!W23," - ")</f>
        <v>-0.11914893617021277</v>
      </c>
      <c r="G23" s="1154">
        <f>IF(ISNUMBER((Datos!N23-Datos!X23)/Datos!X23),(Datos!N23-Datos!X23)/Datos!X23," - ")</f>
        <v>9.8621420996818671E-2</v>
      </c>
      <c r="H23" s="1154">
        <f>IF(ISNUMBER(((NºAsuntos!G23/NºAsuntos!E23)-Datos!BD23)/Datos!BD23),((NºAsuntos!G23/NºAsuntos!E23)-Datos!BD23)/Datos!BD23," - ")</f>
        <v>0.11559612410274027</v>
      </c>
      <c r="I23" s="1154">
        <f>IF(ISNUMBER(((NºAsuntos!I23/NºAsuntos!G23)-Datos!BE23)/Datos!BE23),((NºAsuntos!I23/NºAsuntos!G23)-Datos!BE23)/Datos!BE23," - ")</f>
        <v>1.3713925095269457E-3</v>
      </c>
      <c r="J23" s="1154">
        <f>IF(ISNUMBER((('Resol  Asuntos'!D23/NºAsuntos!G23)-Datos!BF23)/Datos!BF23),(('Resol  Asuntos'!D23/NºAsuntos!G23)-Datos!BF23)/Datos!BF23," - ")</f>
        <v>-0.1469862158397772</v>
      </c>
      <c r="K23" s="1154">
        <f>IF(ISNUMBER((((NºAsuntos!C23+NºAsuntos!E23)/NºAsuntos!G23)-Datos!BG23)/Datos!BG23),(((NºAsuntos!C23+NºAsuntos!E23)/NºAsuntos!G23)-Datos!BG23)/Datos!BG23," - ")</f>
        <v>7.330351480031283E-2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0.17089005235602095</v>
      </c>
      <c r="C31" s="1092">
        <f>IF(ISNUMBER(
   IF(J_V="SI",(Datos!J31-Datos!T31)/Datos!T31,(Datos!J31+Datos!Z31-(Datos!T31+Datos!AH31))/(Datos!T31+Datos!AH31))
     ),IF(J_V="SI",(Datos!J31-Datos!T31)/Datos!T31,(Datos!J31+Datos!Z31-(Datos!T31+Datos!AH31))/(Datos!T31+Datos!AH31))," - ")</f>
        <v>-7.4297188755020074E-2</v>
      </c>
      <c r="D31" s="1092">
        <f>IF(ISNUMBER(
   IF(J_V="SI",(Datos!K31-Datos!U31)/Datos!U31,(Datos!K31+Datos!AA31-(Datos!U31+Datos!AI31))/(Datos!U31+Datos!AI31))
     ),IF(J_V="SI",(Datos!K31-Datos!U31)/Datos!U31,(Datos!K31+Datos!AA31-(Datos!U31+Datos!AI31))/(Datos!U31+Datos!AI31))," - ")</f>
        <v>5.8265582655826556E-2</v>
      </c>
      <c r="E31" s="1092">
        <f>IF(ISNUMBER(
   IF(J_V="SI",(Datos!L31-Datos!V31)/Datos!V31,(Datos!L31+Datos!AB31-(Datos!V31+Datos!AJ31))/(Datos!V31+Datos!AJ31))
     ),IF(J_V="SI",(Datos!L31-Datos!V31)/Datos!V31,(Datos!L31+Datos!AB31-(Datos!V31+Datos!AJ31))/(Datos!V31+Datos!AJ31))," - ")</f>
        <v>8.8540606554040308E-2</v>
      </c>
      <c r="F31" s="1093">
        <f>IF(ISNUMBER((Datos!M31-Datos!W31)/Datos!W31),(Datos!M31-Datos!W31)/Datos!W31," - ")</f>
        <v>8.9285714285714281E-3</v>
      </c>
      <c r="G31" s="1094">
        <f>IF(ISNUMBER((Datos!N31-Datos!X31)/Datos!X31),(Datos!N31-Datos!X31)/Datos!X31," - ")</f>
        <v>0.15524034672970843</v>
      </c>
      <c r="H31" s="1095">
        <f>IF(ISNUMBER((Tasas!B31-Datos!BD31)/Datos!BD31),(Tasas!B31-Datos!BD31)/Datos!BD31," - ")</f>
        <v>0.1432022997019558</v>
      </c>
      <c r="I31" s="1096">
        <f>IF(ISNUMBER((Tasas!C31-Datos!BE31)/Datos!BE31),(Tasas!C31-Datos!BE31)/Datos!BE31," - ")</f>
        <v>2.8608153184227627E-2</v>
      </c>
      <c r="J31" s="1097">
        <f>IF(ISNUMBER((Tasas!D31-Datos!BF31)/Datos!BF31),(Tasas!D31-Datos!BF31)/Datos!BF31," - ")</f>
        <v>-0.24404609475032019</v>
      </c>
      <c r="K31" s="1097">
        <f>IF(ISNUMBER((Tasas!E31-Datos!BG31)/Datos!BG31),(Tasas!E31-Datos!BG31)/Datos!BG31," - ")</f>
        <v>5.8508131239870462E-2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tuRYN9YiL9Mauw3dl+BWmH3OgTsrvZjWFGjbS53nBDznFr2tAAaa0tQKDXFYa7RhfuMwSAiI99JeXLc8Bb2Q==" saltValue="7XQ35tKtQ7f5wivmRAh2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GRANADILLA DE ABONA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5.5</v>
      </c>
      <c r="D10" s="499">
        <f>IF(ISNUMBER('Resol  Asuntos'!D10/NºAsuntos!G10),'Resol  Asuntos'!D10/NºAsuntos!G10," - ")</f>
        <v>0.22222222222222221</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0.81439084219133284</v>
      </c>
      <c r="C12" s="498">
        <f>IF(ISNUMBER(NºAsuntos!I12/NºAsuntos!G12),NºAsuntos!I12/NºAsuntos!G12," - ")</f>
        <v>7.1636546184738954</v>
      </c>
      <c r="D12" s="499">
        <f>IF(ISNUMBER('Resol  Asuntos'!D12/NºAsuntos!G12),'Resol  Asuntos'!D12/NºAsuntos!G12," - ")</f>
        <v>0.24196787148594379</v>
      </c>
      <c r="E12" s="500">
        <f>IF(ISNUMBER((NºAsuntos!C12+NºAsuntos!E12)/NºAsuntos!G12),(NºAsuntos!C12+NºAsuntos!E12)/NºAsuntos!G12," - ")</f>
        <v>8.2670682730923701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0.81315156375300723</v>
      </c>
      <c r="C14" s="1156">
        <f>IF(ISNUMBER(NºAsuntos!I14/NºAsuntos!G14),NºAsuntos!I14/NºAsuntos!G14," - ")</f>
        <v>7.1341222879684416</v>
      </c>
      <c r="D14" s="1157">
        <f>IF(ISNUMBER('Resol  Asuntos'!D14/NºAsuntos!G14),'Resol  Asuntos'!D14/NºAsuntos!G14," - ")</f>
        <v>0.2416173570019724</v>
      </c>
      <c r="E14" s="1158">
        <f>IF(ISNUMBER((NºAsuntos!C14+NºAsuntos!E14)/NºAsuntos!G14),(NºAsuntos!C14+NºAsuntos!E14)/NºAsuntos!G14," - ")</f>
        <v>8.2357001972386588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1.2861635220125787</v>
      </c>
      <c r="C17" s="498">
        <f>IF(ISNUMBER(NºAsuntos!I17/NºAsuntos!G17),NºAsuntos!I17/NºAsuntos!G17," - ")</f>
        <v>2.7196414017929911</v>
      </c>
      <c r="D17" s="499">
        <f>IF(ISNUMBER('Resol  Asuntos'!D17/NºAsuntos!G17),'Resol  Asuntos'!D17/NºAsuntos!G17," - ")</f>
        <v>0.1361043194784026</v>
      </c>
      <c r="E17" s="500">
        <f>IF(ISNUMBER((NºAsuntos!C17+NºAsuntos!E17)/NºAsuntos!G17),(NºAsuntos!C17+NºAsuntos!E17)/NºAsuntos!G17," - ")</f>
        <v>4.0008149959250208</v>
      </c>
      <c r="G17" s="523"/>
    </row>
    <row r="18" spans="1:7">
      <c r="A18" s="450" t="str">
        <f>Datos!A18</f>
        <v>Jdos. Violencia contra la mujer</v>
      </c>
      <c r="B18" s="497">
        <f>IF(ISNUMBER(NºAsuntos!G18/NºAsuntos!E18),NºAsuntos!G18/NºAsuntos!E18," - ")</f>
        <v>0.98076923076923073</v>
      </c>
      <c r="C18" s="498">
        <f>IF(ISNUMBER(NºAsuntos!I18/NºAsuntos!G18),NºAsuntos!I18/NºAsuntos!G18," - ")</f>
        <v>1.2254901960784315</v>
      </c>
      <c r="D18" s="499">
        <f>IF(ISNUMBER('Resol  Asuntos'!D18/NºAsuntos!G18),'Resol  Asuntos'!D18/NºAsuntos!G18," - ")</f>
        <v>0.39215686274509803</v>
      </c>
      <c r="E18" s="500">
        <f>IF(ISNUMBER((NºAsuntos!C18+NºAsuntos!E18)/NºAsuntos!G18),(NºAsuntos!C18+NºAsuntos!E18)/NºAsuntos!G18," - ")</f>
        <v>2.2254901960784315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1.2561436672967863</v>
      </c>
      <c r="C23" s="1156">
        <f>IF(ISNUMBER(NºAsuntos!I23/NºAsuntos!G23),NºAsuntos!I23/NºAsuntos!G23," - ")</f>
        <v>2.6049661399548532</v>
      </c>
      <c r="D23" s="1159">
        <f>IF(ISNUMBER('Resol  Asuntos'!D23/NºAsuntos!G23),'Resol  Asuntos'!D23/NºAsuntos!G23," - ")</f>
        <v>0.15575620767494355</v>
      </c>
      <c r="E23" s="1158">
        <f>IF(ISNUMBER((NºAsuntos!C23+NºAsuntos!E23)/NºAsuntos!G23),(NºAsuntos!C23+NºAsuntos!E23)/NºAsuntos!G23," - ")</f>
        <v>3.8645598194130923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1.0164859002169198</v>
      </c>
      <c r="C31" s="1099">
        <f>IF(ISNUMBER(NºAsuntos!I31/NºAsuntos!G31),NºAsuntos!I31/NºAsuntos!G31," - ")</f>
        <v>4.5650874946649598</v>
      </c>
      <c r="D31" s="1100">
        <f>IF(ISNUMBER('Resol  Asuntos'!D31/NºAsuntos!G31),'Resol  Asuntos'!D31/NºAsuntos!G31," - ")</f>
        <v>0.19291506615450277</v>
      </c>
      <c r="E31" s="1101">
        <f>IF(ISNUMBER((NºAsuntos!C31+NºAsuntos!E31)/NºAsuntos!G31),(NºAsuntos!C31+NºAsuntos!E31)/NºAsuntos!G31," - ")</f>
        <v>5.7562953478446435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oJo4Xzb9ICgWD1GfBWL9SN8m5Lhjh6VCppR6mwuEhUHoaAuQIV9ZZ/sIGc5P6D84FdDfwQxXmvqU4uUA87zQg==" saltValue="9vddbun9Cm37dyyVxkPH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GRANADILLA DE ABONA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0</v>
      </c>
      <c r="Y10" s="374">
        <f t="shared" ref="Y10:Y13" si="0">SUM(W10:X10)</f>
        <v>18</v>
      </c>
      <c r="Z10" s="375" t="str">
        <f>IF(ISNUMBER(Datos!CC10),Datos!CC10," - ")</f>
        <v xml:space="preserve"> - </v>
      </c>
      <c r="AA10" s="372">
        <f>IF(ISNUMBER(Datos!L10),Datos!L10,"-")</f>
        <v>99</v>
      </c>
      <c r="AB10" s="374">
        <f>IF(ISNUMBER(Datos!R10),Datos!R10," - ")</f>
        <v>0</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16.5</v>
      </c>
      <c r="AN10" s="267">
        <f>IF(ISNUMBER('Resol  Asuntos'!D10/NºAsuntos!G10),'Resol  Asuntos'!D10/NºAsuntos!G10," - ")</f>
        <v>0.22222222222222221</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v>
      </c>
      <c r="Y12" s="374">
        <f t="shared" si="0"/>
        <v>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241</v>
      </c>
      <c r="AJ12" s="243" t="str">
        <f>IF(ISNUMBER(Datos!BW12),Datos!BW12," - ")</f>
        <v xml:space="preserve"> - </v>
      </c>
      <c r="AK12" s="242" t="str">
        <f>IF(ISNUMBER(Datos!BX12),Datos!BX12," - ")</f>
        <v xml:space="preserve"> - </v>
      </c>
      <c r="AL12" s="266">
        <f>IF(ISNUMBER(NºAsuntos!G12/NºAsuntos!E12),NºAsuntos!G12/NºAsuntos!E12," - ")</f>
        <v>0.81439084219133284</v>
      </c>
      <c r="AM12" s="284">
        <f>IF(ISNUMBER(((NºAsuntos!I12/NºAsuntos!G12)*11)/factor_trimestre),((NºAsuntos!I12/NºAsuntos!G12)*11)/factor_trimestre," - ")</f>
        <v>21.490963855421686</v>
      </c>
      <c r="AN12" s="267">
        <f>IF(ISNUMBER('Resol  Asuntos'!D12/NºAsuntos!G12),'Resol  Asuntos'!D12/NºAsuntos!G12," - ")</f>
        <v>0.24196787148594379</v>
      </c>
      <c r="AO12" s="268">
        <f>IF(ISNUMBER((NºAsuntos!C12+NºAsuntos!E12)/NºAsuntos!G12),(NºAsuntos!C12+NºAsuntos!E12)/NºAsuntos!G12," - ")</f>
        <v>8.2670682730923701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93</v>
      </c>
      <c r="G14" s="1163">
        <f t="shared" si="5"/>
        <v>93</v>
      </c>
      <c r="H14" s="1162">
        <f t="shared" si="5"/>
        <v>0</v>
      </c>
      <c r="I14" s="1164">
        <f t="shared" si="5"/>
        <v>0</v>
      </c>
      <c r="J14" s="1164">
        <f t="shared" si="5"/>
        <v>0</v>
      </c>
      <c r="K14" s="1164">
        <f t="shared" si="5"/>
        <v>0</v>
      </c>
      <c r="L14" s="1164">
        <f t="shared" si="5"/>
        <v>210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94</v>
      </c>
      <c r="Y14" s="1165">
        <f t="shared" si="6"/>
        <v>112</v>
      </c>
      <c r="Z14" s="1165">
        <f t="shared" si="6"/>
        <v>0</v>
      </c>
      <c r="AA14" s="1165">
        <f t="shared" si="6"/>
        <v>99</v>
      </c>
      <c r="AB14" s="1165">
        <f t="shared" si="6"/>
        <v>5878</v>
      </c>
      <c r="AC14" s="1165">
        <f t="shared" si="6"/>
        <v>99</v>
      </c>
      <c r="AD14" s="1165">
        <f t="shared" si="6"/>
        <v>0</v>
      </c>
      <c r="AE14" s="1169">
        <f t="shared" si="6"/>
        <v>0</v>
      </c>
      <c r="AF14" s="1162">
        <f t="shared" si="6"/>
        <v>0</v>
      </c>
      <c r="AG14" s="1170">
        <f t="shared" si="6"/>
        <v>0</v>
      </c>
      <c r="AH14" s="1167">
        <f t="shared" si="6"/>
        <v>0</v>
      </c>
      <c r="AI14" s="1162">
        <f t="shared" si="6"/>
        <v>245</v>
      </c>
      <c r="AJ14" s="1164">
        <f t="shared" si="6"/>
        <v>0</v>
      </c>
      <c r="AK14" s="1167">
        <f>SUBTOTAL(9,AK9:AK13)</f>
        <v>0</v>
      </c>
      <c r="AL14" s="1171">
        <f>IF(ISNUMBER(NºAsuntos!G14/NºAsuntos!E14),NºAsuntos!G14/NºAsuntos!E14," - ")</f>
        <v>0.81315156375300723</v>
      </c>
      <c r="AM14" s="1171">
        <f>IF(ISNUMBER(((NºAsuntos!I14/NºAsuntos!G14)*11)/factor_trimestre),((NºAsuntos!I14/NºAsuntos!G14)*11)/factor_trimestre," - ")</f>
        <v>21.402366863905328</v>
      </c>
      <c r="AN14" s="1172">
        <f>IF(ISNUMBER('Resol  Asuntos'!D14/NºAsuntos!G14),'Resol  Asuntos'!D14/NºAsuntos!G14," - ")</f>
        <v>0.2416173570019724</v>
      </c>
      <c r="AO14" s="1173">
        <f>IF(ISNUMBER((NºAsuntos!C14+NºAsuntos!E14)/NºAsuntos!G14),(NºAsuntos!C14+NºAsuntos!E14)/NºAsuntos!G14," - ")</f>
        <v>8.2357001972386588</v>
      </c>
      <c r="AP14" s="1174" t="str">
        <f t="shared" si="2"/>
        <v xml:space="preserve"> - </v>
      </c>
      <c r="AQ14" s="1174">
        <f>IF(ISNUMBER((H14-W14+K14)/(F14)),(H14-W14+K14)/(F14)," - ")</f>
        <v>-0.19354838709677419</v>
      </c>
      <c r="AR14" s="1175">
        <f>IF(ISNUMBER((Datos!P14-Datos!Q14)/(Datos!R14-Datos!P14+Datos!Q14)),(Datos!P14-Datos!Q14)/(Datos!R14-Datos!P14+Datos!Q14)," - ")</f>
        <v>2.0131898646303367E-2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3610</v>
      </c>
      <c r="G17" s="373">
        <f>IF(ISNUMBER(IF(D_I="SI",Datos!I17,Datos!I17+Datos!AC17)),IF(D_I="SI",Datos!I17,Datos!I17+Datos!AC17)," - ")</f>
        <v>3955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1227</v>
      </c>
      <c r="X17" s="240">
        <f>IF(ISNUMBER(Datos!Q17),Datos!Q17," - ")</f>
        <v>118</v>
      </c>
      <c r="Y17" s="374">
        <f t="shared" ref="Y17:Y22" si="9">SUM(W17:X17)</f>
        <v>1345</v>
      </c>
      <c r="Z17" s="375" t="str">
        <f>IF(ISNUMBER(Datos!CC17),Datos!CC17," - ")</f>
        <v xml:space="preserve"> - </v>
      </c>
      <c r="AA17" s="372">
        <f>IF(ISNUMBER(IF(D_I="SI",Datos!L17,Datos!L17+Datos!AF17)),IF(D_I="SI",Datos!L17,Datos!L17+Datos!AF17)," - ")</f>
        <v>3337</v>
      </c>
      <c r="AB17" s="374">
        <f>IF(ISNUMBER(Datos!R17),Datos!R17," - ")</f>
        <v>131</v>
      </c>
      <c r="AC17" s="374">
        <f t="shared" si="8"/>
        <v>3468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167</v>
      </c>
      <c r="AJ17" s="245" t="str">
        <f>IF(ISNUMBER(Datos!BW17),Datos!BW17," - ")</f>
        <v xml:space="preserve"> - </v>
      </c>
      <c r="AK17" s="246" t="str">
        <f>IF(ISNUMBER(Datos!BX17),Datos!BX17," - ")</f>
        <v xml:space="preserve"> - </v>
      </c>
      <c r="AL17" s="266">
        <f>IF(ISNUMBER(NºAsuntos!G17/NºAsuntos!E17),NºAsuntos!G17/NºAsuntos!E17," - ")</f>
        <v>1.2861635220125787</v>
      </c>
      <c r="AM17" s="284">
        <f>IF(ISNUMBER(((NºAsuntos!I17/NºAsuntos!G17)*11)/factor_trimestre),((NºAsuntos!I17/NºAsuntos!G17)*11)/factor_trimestre," - ")</f>
        <v>8.1589242053789732</v>
      </c>
      <c r="AN17" s="267">
        <f>IF(ISNUMBER('Resol  Asuntos'!D17/NºAsuntos!G17),'Resol  Asuntos'!D17/NºAsuntos!G17," - ")</f>
        <v>0.1361043194784026</v>
      </c>
      <c r="AO17" s="268">
        <f>IF(ISNUMBER((NºAsuntos!C17+NºAsuntos!E17)/NºAsuntos!G17),(NºAsuntos!C17+NºAsuntos!E17)/NºAsuntos!G17," - ")</f>
        <v>4.0008149959250208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2</v>
      </c>
      <c r="Y18" s="374">
        <f t="shared" si="9"/>
        <v>104</v>
      </c>
      <c r="Z18" s="375" t="str">
        <f>IF(ISNUMBER(Datos!CC18),Datos!CC18," - ")</f>
        <v xml:space="preserve"> - </v>
      </c>
      <c r="AA18" s="372">
        <f>IF(ISNUMBER(Datos!L18),Datos!L18,"-")</f>
        <v>125</v>
      </c>
      <c r="AB18" s="374">
        <f>IF(ISNUMBER(Datos!R18),Datos!R18," - ")</f>
        <v>11</v>
      </c>
      <c r="AC18" s="374">
        <f t="shared" si="8"/>
        <v>136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0.98076923076923073</v>
      </c>
      <c r="AM18" s="284">
        <f>IF(ISNUMBER(((NºAsuntos!I18/NºAsuntos!G18)*11)/factor_trimestre),((NºAsuntos!I18/NºAsuntos!G18)*11)/factor_trimestre," - ")</f>
        <v>3.6764705882352944</v>
      </c>
      <c r="AN18" s="267">
        <f>IF(ISNUMBER('Resol  Asuntos'!D18/NºAsuntos!G18),'Resol  Asuntos'!D18/NºAsuntos!G18," - ")</f>
        <v>0.39215686274509803</v>
      </c>
      <c r="AO18" s="268">
        <f>IF(ISNUMBER((NºAsuntos!C18+NºAsuntos!E18)/NºAsuntos!G18),(NºAsuntos!C18+NºAsuntos!E18)/NºAsuntos!G18," - ")</f>
        <v>2.2254901960784315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3610</v>
      </c>
      <c r="G23" s="1163">
        <f>SUBTOTAL(9,G16:G22)</f>
        <v>4078</v>
      </c>
      <c r="H23" s="1162">
        <f t="shared" ref="H23:O23" si="13">SUBTOTAL(9,H15:H22)</f>
        <v>0</v>
      </c>
      <c r="I23" s="1164">
        <f t="shared" si="13"/>
        <v>0</v>
      </c>
      <c r="J23" s="1164">
        <f t="shared" si="13"/>
        <v>0</v>
      </c>
      <c r="K23" s="1164">
        <f t="shared" si="13"/>
        <v>0</v>
      </c>
      <c r="L23" s="1164">
        <f t="shared" si="13"/>
        <v>69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1329</v>
      </c>
      <c r="X23" s="1164">
        <f t="shared" si="14"/>
        <v>120</v>
      </c>
      <c r="Y23" s="1165">
        <f t="shared" si="14"/>
        <v>1449</v>
      </c>
      <c r="Z23" s="1165">
        <f t="shared" si="14"/>
        <v>0</v>
      </c>
      <c r="AA23" s="1165">
        <f t="shared" si="14"/>
        <v>3462</v>
      </c>
      <c r="AB23" s="1165">
        <f t="shared" si="14"/>
        <v>142</v>
      </c>
      <c r="AC23" s="1165">
        <f t="shared" si="14"/>
        <v>3604</v>
      </c>
      <c r="AD23" s="1165">
        <f t="shared" si="14"/>
        <v>0</v>
      </c>
      <c r="AE23" s="1169">
        <f t="shared" si="14"/>
        <v>0</v>
      </c>
      <c r="AF23" s="1162">
        <f t="shared" si="14"/>
        <v>0</v>
      </c>
      <c r="AG23" s="1170">
        <f t="shared" si="14"/>
        <v>0</v>
      </c>
      <c r="AH23" s="1167">
        <f t="shared" si="14"/>
        <v>0</v>
      </c>
      <c r="AI23" s="1162">
        <f t="shared" si="14"/>
        <v>207</v>
      </c>
      <c r="AJ23" s="1164">
        <f t="shared" si="14"/>
        <v>0</v>
      </c>
      <c r="AK23" s="1167">
        <f t="shared" si="14"/>
        <v>0</v>
      </c>
      <c r="AL23" s="1171">
        <f>IF(ISNUMBER(NºAsuntos!G23/NºAsuntos!E23),NºAsuntos!G23/NºAsuntos!E23," - ")</f>
        <v>1.2561436672967863</v>
      </c>
      <c r="AM23" s="1171">
        <f>IF(ISNUMBER(((NºAsuntos!I23/NºAsuntos!G23)*11)/factor_trimestre),((NºAsuntos!I23/NºAsuntos!G23)*11)/factor_trimestre," - ")</f>
        <v>7.8148984198645595</v>
      </c>
      <c r="AN23" s="1172">
        <f>IF(ISNUMBER('Resol  Asuntos'!D23/NºAsuntos!G23),'Resol  Asuntos'!D23/NºAsuntos!G23," - ")</f>
        <v>0.15575620767494355</v>
      </c>
      <c r="AO23" s="1173">
        <f>IF(ISNUMBER((NºAsuntos!C23+NºAsuntos!E23)/NºAsuntos!G23),(NºAsuntos!C23+NºAsuntos!E23)/NºAsuntos!G23," - ")</f>
        <v>3.8645598194130923</v>
      </c>
      <c r="AP23" s="1174" t="str">
        <f t="shared" si="2"/>
        <v xml:space="preserve"> - </v>
      </c>
      <c r="AQ23" s="1174">
        <f>IF(ISNUMBER((H23-W23+K23)/(F23)),(H23-W23+K23)/(F23)," - ")</f>
        <v>-0.36814404432132963</v>
      </c>
      <c r="AR23" s="1175">
        <f>IF(ISNUMBER((Datos!P23-Datos!Q23)/(Datos!R23-Datos!P23+Datos!Q23)),(Datos!P23-Datos!Q23)/(Datos!R23-Datos!P23+Datos!Q23)," - ")</f>
        <v>-0.26424870466321243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3703</v>
      </c>
      <c r="G31" s="1118">
        <f t="shared" si="20"/>
        <v>4171</v>
      </c>
      <c r="H31" s="1117">
        <f t="shared" si="20"/>
        <v>0</v>
      </c>
      <c r="I31" s="1119">
        <f t="shared" si="20"/>
        <v>0</v>
      </c>
      <c r="J31" s="1119">
        <f t="shared" si="20"/>
        <v>0</v>
      </c>
      <c r="K31" s="1180">
        <f t="shared" si="20"/>
        <v>0</v>
      </c>
      <c r="L31" s="1119">
        <f t="shared" si="20"/>
        <v>279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1347</v>
      </c>
      <c r="X31" s="1118">
        <f t="shared" si="21"/>
        <v>214</v>
      </c>
      <c r="Y31" s="1125">
        <f t="shared" si="21"/>
        <v>1561</v>
      </c>
      <c r="Z31" s="1125">
        <f t="shared" si="21"/>
        <v>0</v>
      </c>
      <c r="AA31" s="1125">
        <f t="shared" si="21"/>
        <v>3561</v>
      </c>
      <c r="AB31" s="1125">
        <f t="shared" si="21"/>
        <v>6020</v>
      </c>
      <c r="AC31" s="1125">
        <f t="shared" si="21"/>
        <v>3703</v>
      </c>
      <c r="AD31" s="1125">
        <f t="shared" si="21"/>
        <v>0</v>
      </c>
      <c r="AE31" s="1127">
        <f t="shared" si="21"/>
        <v>0</v>
      </c>
      <c r="AF31" s="1128">
        <f t="shared" si="21"/>
        <v>0</v>
      </c>
      <c r="AG31" s="1129">
        <f t="shared" si="21"/>
        <v>0</v>
      </c>
      <c r="AH31" s="1127">
        <f t="shared" si="21"/>
        <v>0</v>
      </c>
      <c r="AI31" s="1117">
        <f t="shared" si="21"/>
        <v>452</v>
      </c>
      <c r="AJ31" s="1117">
        <f t="shared" si="21"/>
        <v>0</v>
      </c>
      <c r="AK31" s="1127">
        <f t="shared" si="21"/>
        <v>0</v>
      </c>
      <c r="AL31" s="1183">
        <f>IF(ISNUMBER(NºAsuntos!G31/NºAsuntos!E31),NºAsuntos!G31/NºAsuntos!E31," - ")</f>
        <v>1.0164859002169198</v>
      </c>
      <c r="AM31" s="1184">
        <f>IF(ISNUMBER(((NºAsuntos!I31/NºAsuntos!G31)*11)/factor_trimestre),((NºAsuntos!I31/NºAsuntos!G31)*11)/factor_trimestre," - ")</f>
        <v>13.695262483994881</v>
      </c>
      <c r="AN31" s="1184">
        <f>IF(ISNUMBER('Resol  Asuntos'!D31/NºAsuntos!G31),'Resol  Asuntos'!D31/NºAsuntos!G31," - ")</f>
        <v>0.19291506615450277</v>
      </c>
      <c r="AO31" s="1185">
        <f>IF(ISNUMBER((NºAsuntos!C31+NºAsuntos!E31)/NºAsuntos!G31),(NºAsuntos!C31+NºAsuntos!E31)/NºAsuntos!G31," - ")</f>
        <v>5.7562953478446435</v>
      </c>
      <c r="AP31" s="1186" t="str">
        <f t="shared" si="2"/>
        <v xml:space="preserve"> - </v>
      </c>
      <c r="AQ31" s="1187">
        <f>IF(OR(ISNUMBER(FIND("01",Criterios!A8,1)),ISNUMBER(FIND("02",Criterios!A8,1)),ISNUMBER(FIND("03",Criterios!A8,1)),ISNUMBER(FIND("04",Criterios!A8,1))),(I31-W31+K31)/(F31-K31),(H31-W31+K31)/(F31-K31))</f>
        <v>-0.36375911423170404</v>
      </c>
      <c r="AR31" s="1188">
        <f>IF(ISNUMBER((Datos!P31-Datos!Q31)/(Datos!R31-Datos!P31+Datos!Q31)),(Datos!P31-Datos!Q31)/(Datos!R31-Datos!P31+Datos!Q31)," - ")</f>
        <v>1.09151973131822E-2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1191.7142857142858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1840.6534346983051</v>
      </c>
      <c r="G33" s="277">
        <f>IF(ISNUMBER(STDEV(G8:G30)),STDEV(G8:G30),"-")</f>
        <v>1930.5981555194851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611.8301585057269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112.31842489738079</v>
      </c>
      <c r="AJ33" s="276">
        <f t="shared" si="25"/>
        <v>0</v>
      </c>
      <c r="AK33" s="278">
        <f t="shared" si="25"/>
        <v>0</v>
      </c>
      <c r="AL33" s="273">
        <f t="shared" si="25"/>
        <v>0.235832973413661</v>
      </c>
      <c r="AM33" s="274">
        <f t="shared" si="25"/>
        <v>7.6421751471053678</v>
      </c>
      <c r="AN33" s="274">
        <f t="shared" si="25"/>
        <v>9.0494183788828217E-2</v>
      </c>
      <c r="AO33" s="275">
        <f t="shared" si="25"/>
        <v>2.5212653929726843</v>
      </c>
      <c r="AP33" s="317" t="str">
        <f t="shared" si="25"/>
        <v>-</v>
      </c>
      <c r="AQ33" s="318">
        <f t="shared" si="25"/>
        <v>0.12345777318920535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uHlNlchB0zX2bxkB1Xaal4SkrPHkd0sGSAO7RgIq20KIC0Gtpj+msYJuJiG/rF7Afno2cYTnOa07tlmUYO8jg==" saltValue="GtLDNBJoeCWZeJsl4XsA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GRANADILLA DE ABONA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0.12048192771084337</v>
      </c>
      <c r="E10" s="393">
        <f>IF(ISNUMBER((Datos!J10-Datos!T10)/Datos!T10),(Datos!J10-Datos!T10)/Datos!T10," - ")</f>
        <v>0.7142857142857143</v>
      </c>
      <c r="F10" s="393">
        <f>IF(ISNUMBER((Datos!K10-Datos!U10)/Datos!U10),(Datos!K10-Datos!U10)/Datos!U10," - ")</f>
        <v>0.8</v>
      </c>
      <c r="G10" s="394">
        <f>IF(ISNUMBER((Datos!L10-Datos!V10)/Datos!V10),(Datos!L10-Datos!V10)/Datos!V10," - ")</f>
        <v>0.13793103448275862</v>
      </c>
      <c r="H10" s="244">
        <f>IF(ISNUMBER((Datos!M10-Datos!W10)/Datos!W10),(Datos!M10-Datos!W10)/Datos!W10," - ")</f>
        <v>0</v>
      </c>
      <c r="I10" s="395">
        <f>IF(ISNUMBER((Tasas!C10-Datos!BE10)/Datos!BE10),(Tasas!C10-Datos!BE10)/Datos!BE10," - ")</f>
        <v>-0.36781609195402293</v>
      </c>
      <c r="J10" s="394">
        <f>IF(ISNUMBER((Tasas!D10-Datos!BF10)/Datos!BF10),(Tasas!D10-Datos!BF10)/Datos!BF10," - ")</f>
        <v>-0.44444444444444453</v>
      </c>
      <c r="K10" s="396">
        <f>IF(ISNUMBER((Tasas!E10-Datos!BG10)/Datos!BG10),(Tasas!E10-Datos!BG10)/Datos!BG10," - ")</f>
        <v>-0.32989690721649478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0.15311004784688995</v>
      </c>
      <c r="I12" s="395">
        <f>IF(ISNUMBER((Tasas!C12-Datos!BE12)/Datos!BE12),(Tasas!C12-Datos!BE12)/Datos!BE12," - ")</f>
        <v>2.786282039439238E-2</v>
      </c>
      <c r="J12" s="394">
        <f>IF(ISNUMBER((Tasas!D12-Datos!BF12)/Datos!BF12),(Tasas!D12-Datos!BF12)/Datos!BF12," - ")</f>
        <v>-0.3193725823539556</v>
      </c>
      <c r="K12" s="396">
        <f>IF(ISNUMBER((Tasas!E12-Datos!BG12)/Datos!BG12),(Tasas!E12-Datos!BG12)/Datos!BG12," - ")</f>
        <v>3.7200931238979815E-2</v>
      </c>
      <c r="M12" t="e">
        <f>IF(Monitorios="SI",Datos!CE12,0)</f>
        <v>#REF!</v>
      </c>
      <c r="N12" t="e">
        <f>IF(Monitorios="SI",Datos!CF12,0)</f>
        <v>#REF!</v>
      </c>
      <c r="O12" t="e">
        <f>IF(Monitorios="SI",Datos!CG12,0)</f>
        <v>#REF!</v>
      </c>
      <c r="P12" t="e">
        <f>IF(Monitorios="SI",Datos!CH12,0)</f>
        <v>#REF!</v>
      </c>
      <c r="Q12">
        <f>IF(J_V="SI",0,Datos!AG12)</f>
        <v>102</v>
      </c>
      <c r="R12">
        <f>IF(J_V="SI",0,Datos!AH12)</f>
        <v>49</v>
      </c>
      <c r="S12">
        <f>IF(J_V="SI",0,Datos!AI12)</f>
        <v>69</v>
      </c>
      <c r="T12">
        <f>IF(J_V="SI",0,Datos!AJ12)</f>
        <v>82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0.15023474178403756</v>
      </c>
      <c r="I14" s="402">
        <f>IF(ISNUMBER((Tasas!C14-Datos!BE14)/Datos!BE14),(Tasas!C14-Datos!BE14)/Datos!BE14," - ")</f>
        <v>2.0890917095823622E-2</v>
      </c>
      <c r="J14" s="400">
        <f>IF(ISNUMBER((Tasas!D14-Datos!BF14)/Datos!BF14),(Tasas!D14-Datos!BF14)/Datos!BF14," - ")</f>
        <v>-0.32127487896718659</v>
      </c>
      <c r="K14" s="403">
        <f>IF(ISNUMBER((Tasas!E14-Datos!BG14)/Datos!BG14),(Tasas!E14-Datos!BG14)/Datos!BG14," - ")</f>
        <v>3.0852563170434309E-2</v>
      </c>
      <c r="M14" t="e">
        <f>IF(Monitorios="SI",Datos!CE14,0)</f>
        <v>#REF!</v>
      </c>
      <c r="N14" t="e">
        <f>IF(Monitorios="SI",Datos!CF14,0)</f>
        <v>#REF!</v>
      </c>
      <c r="O14" t="e">
        <f>IF(Monitorios="SI",Datos!CG14,0)</f>
        <v>#REF!</v>
      </c>
      <c r="P14" t="e">
        <f>IF(Monitorios="SI",Datos!CH14,0)</f>
        <v>#REF!</v>
      </c>
      <c r="Q14">
        <f>IF(J_V="SI",0,Datos!AG14)</f>
        <v>102</v>
      </c>
      <c r="R14">
        <f>IF(J_V="SI",0,Datos!AH14)</f>
        <v>49</v>
      </c>
      <c r="S14">
        <f>IF(J_V="SI",0,Datos!AI14)</f>
        <v>69</v>
      </c>
      <c r="T14">
        <f>IF(J_V="SI",0,Datos!AJ14)</f>
        <v>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0.17115783239561741</v>
      </c>
      <c r="E17" s="393">
        <f>IF(ISNUMBER(
   IF(D_I="SI",(Datos!J17-Datos!T17)/Datos!T17,(Datos!J17+Datos!AD17-(Datos!T17+Datos!AL17))/(Datos!T17+Datos!AL17))
     ),IF(D_I="SI",(Datos!J17-Datos!T17)/Datos!T17,(Datos!J17+Datos!AD17-(Datos!T17+Datos!AL17))/(Datos!T17+Datos!AL17))," - ")</f>
        <v>-0.10169491525423729</v>
      </c>
      <c r="F17" s="393">
        <f>IF(ISNUMBER(
   IF(D_I="SI",(Datos!K17-Datos!U17)/Datos!U17,(Datos!K17+Datos!AE17-(Datos!U17+Datos!AM17))/(Datos!U17+Datos!AM17))
     ),IF(D_I="SI",(Datos!K17-Datos!U17)/Datos!U17,(Datos!K17+Datos!AE17-(Datos!U17+Datos!AM17))/(Datos!U17+Datos!AM17))," - ")</f>
        <v>2.3352793994995829E-2</v>
      </c>
      <c r="G17" s="394">
        <f>IF(ISNUMBER(
   IF(D_I="SI",(Datos!L17-Datos!V17)/Datos!V17,(Datos!L17+Datos!AF17-(Datos!V17+Datos!AN17))/(Datos!V17+Datos!AN17))
     ),IF(D_I="SI",(Datos!L17-Datos!V17)/Datos!V17,(Datos!L17+Datos!AF17-(Datos!V17+Datos!AN17))/(Datos!V17+Datos!AN17))," - ")</f>
        <v>2.9620487503856836E-2</v>
      </c>
      <c r="H17" s="244">
        <f>IF(ISNUMBER((Datos!M17-Datos!W17)/Datos!W17),(Datos!M17-Datos!W17)/Datos!W17," - ")</f>
        <v>-0.15228426395939088</v>
      </c>
      <c r="I17" s="395">
        <f>IF(ISNUMBER((Tasas!C17-Datos!BE17)/Datos!BE17),(Tasas!C17-Datos!BE17)/Datos!BE17," - ")</f>
        <v>6.1246654581290335E-3</v>
      </c>
      <c r="J17" s="394">
        <f>IF(ISNUMBER((Tasas!D17-Datos!BF17)/Datos!BF17),(Tasas!D17-Datos!BF17)/Datos!BF17," - ")</f>
        <v>-0.17162904033195581</v>
      </c>
      <c r="K17" s="396">
        <f>IF(ISNUMBER((Tasas!E17-Datos!BG17)/Datos!BG17),(Tasas!E17-Datos!BG17)/Datos!BG17," - ")</f>
        <v>8.0643654001824674E-2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7.8947368421052627E-2</v>
      </c>
      <c r="E18" s="393">
        <f>IF(ISNUMBER(
   IF(D_I="SI",(Datos!J18-Datos!T18)/Datos!T18,(Datos!J18+Datos!AD18-(Datos!T18+Datos!AL18))/(Datos!T18+Datos!AL18))
     ),IF(D_I="SI",(Datos!J18-Datos!T18)/Datos!T18,(Datos!J18+Datos!AD18-(Datos!T18+Datos!AL18))/(Datos!T18+Datos!AL18))," - ")</f>
        <v>0.2839506172839506</v>
      </c>
      <c r="F18" s="393">
        <f>IF(ISNUMBER(
   IF(D_I="SI",(Datos!K18-Datos!U18)/Datos!U18,(Datos!K18+Datos!AE18-(Datos!U18+Datos!AM18))/(Datos!U18+Datos!AM18))
     ),IF(D_I="SI",(Datos!K18-Datos!U18)/Datos!U18,(Datos!K18+Datos!AE18-(Datos!U18+Datos!AM18))/(Datos!U18+Datos!AM18))," - ")</f>
        <v>0.15909090909090909</v>
      </c>
      <c r="G18" s="394">
        <f>IF(ISNUMBER(
   IF(D_I="SI",(Datos!L18-Datos!V18)/Datos!V18,(Datos!L18+Datos!AF18-(Datos!V18+Datos!AN18))/(Datos!V18+Datos!AN18))
     ),IF(D_I="SI",(Datos!L18-Datos!V18)/Datos!V18,(Datos!L18+Datos!AF18-(Datos!V18+Datos!AN18))/(Datos!V18+Datos!AN18))," - ")</f>
        <v>0.16822429906542055</v>
      </c>
      <c r="H18" s="244">
        <f>IF(ISNUMBER((Datos!M18-Datos!W18)/Datos!W18),(Datos!M18-Datos!W18)/Datos!W18," - ")</f>
        <v>5.2631578947368418E-2</v>
      </c>
      <c r="I18" s="395">
        <f>IF(ISNUMBER((Tasas!C18-Datos!BE18)/Datos!BE18),(Tasas!C18-Datos!BE18)/Datos!BE18," - ")</f>
        <v>7.8797874289904257E-3</v>
      </c>
      <c r="J18" s="394">
        <f>IF(ISNUMBER((Tasas!D18-Datos!BF18)/Datos!BF18),(Tasas!D18-Datos!BF18)/Datos!BF18," - ")</f>
        <v>-9.1847265221878249E-2</v>
      </c>
      <c r="K18" s="396">
        <f>IF(ISNUMBER((Tasas!E18-Datos!BG18)/Datos!BG18),(Tasas!E18-Datos!BG18)/Datos!BG18," - ")</f>
        <v>4.3237807943691054E-3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0.16814666284732169</v>
      </c>
      <c r="E23" s="399">
        <f>IF(ISNUMBER(
   IF(D_I="SI",(Datos!J23-Datos!T23)/Datos!T23,(Datos!J23+Datos!AD23-(Datos!T23+Datos!AL23))/(Datos!T23+Datos!AL23))
     ),IF(D_I="SI",(Datos!J23-Datos!T23)/Datos!T23,(Datos!J23+Datos!AD23-(Datos!T23+Datos!AL23))/(Datos!T23+Datos!AL23))," - ")</f>
        <v>-7.4365704286964124E-2</v>
      </c>
      <c r="F23" s="399">
        <f>IF(ISNUMBER(
   IF(D_I="SI",(Datos!K23-Datos!U23)/Datos!U23,(Datos!K23+Datos!AE23-(Datos!U23+Datos!AM23))/(Datos!U23+Datos!AM23))
     ),IF(D_I="SI",(Datos!K23-Datos!U23)/Datos!U23,(Datos!K23+Datos!AE23-(Datos!U23+Datos!AM23))/(Datos!U23+Datos!AM23))," - ")</f>
        <v>3.2634032634032632E-2</v>
      </c>
      <c r="G23" s="400">
        <f>IF(ISNUMBER(
   IF(D_I="SI",(Datos!L23-Datos!V23)/Datos!V23,(Datos!L23+Datos!AF23-(Datos!V23+Datos!AN23))/(Datos!V23+Datos!AN23))
     ),IF(D_I="SI",(Datos!L23-Datos!V23)/Datos!V23,(Datos!L23+Datos!AF23-(Datos!V23+Datos!AN23))/(Datos!V23+Datos!AN23))," - ")</f>
        <v>3.4050179211469536E-2</v>
      </c>
      <c r="H23" s="401">
        <f>IF(ISNUMBER((Datos!M23-Datos!W23)/Datos!W23),(Datos!M23-Datos!W23)/Datos!W23," - ")</f>
        <v>-0.11914893617021277</v>
      </c>
      <c r="I23" s="402">
        <f>IF(ISNUMBER((Tasas!C23-Datos!BE23)/Datos!BE23),(Tasas!C23-Datos!BE23)/Datos!BE23," - ")</f>
        <v>1.3713925095269457E-3</v>
      </c>
      <c r="J23" s="400">
        <f>IF(ISNUMBER((Tasas!D23-Datos!BF23)/Datos!BF23),(Tasas!D23-Datos!BF23)/Datos!BF23," - ")</f>
        <v>-0.1469862158397772</v>
      </c>
      <c r="K23" s="403">
        <f>IF(ISNUMBER((Tasas!E23-Datos!BG23)/Datos!BG23),(Tasas!E23-Datos!BG23)/Datos!BG23," - ")</f>
        <v>7.330351480031283E-2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0.17089005235602095</v>
      </c>
      <c r="E31" s="409">
        <f>IF(ISNUMBER(
   IF(J_V="SI",(Datos!J31-Datos!T31)/Datos!T31,(Datos!J31+Datos!Z31-(Datos!T31+Datos!AH31))/(Datos!T31+Datos!AH31))
     ),IF(J_V="SI",(Datos!J31-Datos!T31)/Datos!T31,(Datos!J31+Datos!Z31-(Datos!T31+Datos!AH31))/(Datos!T31+Datos!AH31))," - ")</f>
        <v>-7.4297188755020074E-2</v>
      </c>
      <c r="F31" s="409">
        <f>IF(ISNUMBER(
   IF(J_V="SI",(Datos!K31-Datos!U31)/Datos!U31,(Datos!K31+Datos!AA31-(Datos!U31+Datos!AI31))/(Datos!U31+Datos!AI31))
     ),IF(J_V="SI",(Datos!K31-Datos!U31)/Datos!U31,(Datos!K31+Datos!AA31-(Datos!U31+Datos!AI31))/(Datos!U31+Datos!AI31))," - ")</f>
        <v>5.8265582655826556E-2</v>
      </c>
      <c r="G31" s="410">
        <f>IF(ISNUMBER(
   IF(J_V="SI",(Datos!L31-Datos!V31)/Datos!V31,(Datos!L31+Datos!AB31-(Datos!V31+Datos!AJ31))/(Datos!V31+Datos!AJ31))
     ),IF(J_V="SI",(Datos!L31-Datos!V31)/Datos!V31,(Datos!L31+Datos!AB31-(Datos!V31+Datos!AJ31))/(Datos!V31+Datos!AJ31))," - ")</f>
        <v>8.8540606554040308E-2</v>
      </c>
      <c r="H31" s="411">
        <f>IF(ISNUMBER((Datos!M31-Datos!W31)/Datos!W31),(Datos!M31-Datos!W31)/Datos!W31," - ")</f>
        <v>8.9285714285714281E-3</v>
      </c>
      <c r="I31" s="408">
        <f>IF(ISNUMBER((Tasas!C31-Datos!BE31)/Datos!BE31),(Tasas!C31-Datos!BE31)/Datos!BE31," - ")</f>
        <v>2.8608153184227627E-2</v>
      </c>
      <c r="J31" s="409">
        <f>IF(ISNUMBER((Tasas!D31-Datos!BF31)/Datos!BF31),(Tasas!D31-Datos!BF31)/Datos!BF31," - ")</f>
        <v>-0.24404609475032019</v>
      </c>
      <c r="K31" s="410">
        <f>IF(ISNUMBER((Tasas!E31-Datos!BG31)/Datos!BG31),(Tasas!E31-Datos!BG31)/Datos!BG31," - ")</f>
        <v>5.8508131239870462E-2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4.381157080921029E-2</v>
      </c>
      <c r="E33" s="303">
        <f t="shared" si="1"/>
        <v>0.38197335120349024</v>
      </c>
      <c r="F33" s="303">
        <f t="shared" si="1"/>
        <v>0.36937990743051391</v>
      </c>
      <c r="G33" s="304">
        <f t="shared" si="1"/>
        <v>7.1106388452116184E-2</v>
      </c>
      <c r="H33" s="310">
        <f t="shared" si="1"/>
        <v>0.13036790682117744</v>
      </c>
      <c r="I33" s="302">
        <f t="shared" si="1"/>
        <v>0.15571256340268791</v>
      </c>
      <c r="J33" s="303">
        <f t="shared" si="1"/>
        <v>0.13376408056026834</v>
      </c>
      <c r="K33" s="304">
        <f t="shared" si="1"/>
        <v>0.15574041400197147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bR9wMhsUbWfk6CU+RU4kn0adK7McLgkBPLbpSNlMAGP3M1KNkZSfjthorvzJ+utACrro2P3oo0QtsvM3NTodA==" saltValue="IFTWXw/cxZD0MJZoPLTw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